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firma" sheetId="1" r:id="rId1"/>
    <sheet name="R101" sheetId="2" r:id="rId2"/>
    <sheet name="R251" sheetId="3" r:id="rId3"/>
    <sheet name="R500" sheetId="4" r:id="rId4"/>
  </sheets>
  <definedNames>
    <definedName name="_xlnm.Print_Area" localSheetId="0">'firma'!$A$1:$J$32</definedName>
    <definedName name="_xlnm.Print_Area" localSheetId="1">'R101'!$A$89:$M$149</definedName>
    <definedName name="_xlnm.Print_Area" localSheetId="2">'R251'!$A$103:$M$154</definedName>
    <definedName name="_xlnm.Print_Area" localSheetId="3">'R500'!$BA$6:$BT$298</definedName>
  </definedNames>
  <calcPr fullCalcOnLoad="1"/>
</workbook>
</file>

<file path=xl/sharedStrings.xml><?xml version="1.0" encoding="utf-8"?>
<sst xmlns="http://schemas.openxmlformats.org/spreadsheetml/2006/main" count="388" uniqueCount="270">
  <si>
    <t>vstup</t>
  </si>
  <si>
    <t>provedení</t>
  </si>
  <si>
    <t>vestavné</t>
  </si>
  <si>
    <t>RS-232</t>
  </si>
  <si>
    <t>neosazeno</t>
  </si>
  <si>
    <t>napěťový 0–10 (0–5) V</t>
  </si>
  <si>
    <t>proudový 0–20 (4–20) mA</t>
  </si>
  <si>
    <t>RS485 galv. oddělený</t>
  </si>
  <si>
    <t>RS485 galv. neoddělený</t>
  </si>
  <si>
    <t xml:space="preserve">v krabici s průchodkami </t>
  </si>
  <si>
    <t>proudový 0–20 (4–20) mA pasivní</t>
  </si>
  <si>
    <t>proudový 0–20 (4–20) mA aktivní</t>
  </si>
  <si>
    <r>
      <t>komunikace</t>
    </r>
  </si>
  <si>
    <t>výstup 2</t>
  </si>
  <si>
    <t>vyber vstup</t>
  </si>
  <si>
    <t>termín:</t>
  </si>
  <si>
    <t>kontakt:</t>
  </si>
  <si>
    <t>telefon:</t>
  </si>
  <si>
    <t>PSČ a město:</t>
  </si>
  <si>
    <t>ulice:</t>
  </si>
  <si>
    <t>e-mail:</t>
  </si>
  <si>
    <t>fax:</t>
  </si>
  <si>
    <t>DIČ</t>
  </si>
  <si>
    <t>DIČ:</t>
  </si>
  <si>
    <t>IČ:</t>
  </si>
  <si>
    <t>poznámka:</t>
  </si>
  <si>
    <t>OBJEDNÁVKA</t>
  </si>
  <si>
    <t>Firma:</t>
  </si>
  <si>
    <t>Dodací adresa:</t>
  </si>
  <si>
    <t>Fakturační adresa:</t>
  </si>
  <si>
    <t>Poznámka:</t>
  </si>
  <si>
    <t>vstup:</t>
  </si>
  <si>
    <t>komunikace:</t>
  </si>
  <si>
    <t>reálný čas:</t>
  </si>
  <si>
    <t>provedení:</t>
  </si>
  <si>
    <t>cena bez DPH:</t>
  </si>
  <si>
    <t>Termín dodání:</t>
  </si>
  <si>
    <t xml:space="preserve">Dne: </t>
  </si>
  <si>
    <t>podpis</t>
  </si>
  <si>
    <t>IČ</t>
  </si>
  <si>
    <t>firma/společnost:</t>
  </si>
  <si>
    <t>Údaje o objednavateli</t>
  </si>
  <si>
    <t>Regulátor MR51E v konfiguraci:</t>
  </si>
  <si>
    <t>výstup:</t>
  </si>
  <si>
    <t xml:space="preserve">   červené pole znamená že konfigurace není úplná</t>
  </si>
  <si>
    <t>Vaše objednávka</t>
  </si>
  <si>
    <t>výběr</t>
  </si>
  <si>
    <t>připlatek za</t>
  </si>
  <si>
    <t xml:space="preserve"> </t>
  </si>
  <si>
    <t>R101 -</t>
  </si>
  <si>
    <t>standardní sestava              R101</t>
  </si>
  <si>
    <t>standardní sestava                     R251</t>
  </si>
  <si>
    <t>R251 -</t>
  </si>
  <si>
    <t xml:space="preserve">R500 - </t>
  </si>
  <si>
    <t>Osazená pásma -                               typ vstupního čidla</t>
  </si>
  <si>
    <t>Logické vstupy  /  kabel</t>
  </si>
  <si>
    <t>Analogové výstupy</t>
  </si>
  <si>
    <t xml:space="preserve">Paměť záznamů </t>
  </si>
  <si>
    <t>Rozšířujicí modul</t>
  </si>
  <si>
    <t>U / R</t>
  </si>
  <si>
    <t>I</t>
  </si>
  <si>
    <t>RS232</t>
  </si>
  <si>
    <t>RS485</t>
  </si>
  <si>
    <t>osazeno</t>
  </si>
  <si>
    <t>2 m</t>
  </si>
  <si>
    <t>3 m</t>
  </si>
  <si>
    <t>5 m</t>
  </si>
  <si>
    <t>10 m</t>
  </si>
  <si>
    <t>4,8 mm</t>
  </si>
  <si>
    <t>6,8 mm</t>
  </si>
  <si>
    <t>9,4 mm</t>
  </si>
  <si>
    <t>U jádro 28x26 mm</t>
  </si>
  <si>
    <t>jen vstupy</t>
  </si>
  <si>
    <t>vstupy + kabel</t>
  </si>
  <si>
    <t>neosazen</t>
  </si>
  <si>
    <t>relé</t>
  </si>
  <si>
    <t>SSR</t>
  </si>
  <si>
    <t>rozšíření</t>
  </si>
  <si>
    <t>celkem za Vaší konfiguraci:</t>
  </si>
  <si>
    <t>standardní sestava                     R500</t>
  </si>
  <si>
    <t>Regulátor R500 v konfiguraci:</t>
  </si>
  <si>
    <t>tiskárna</t>
  </si>
  <si>
    <t>Osazená pásma:</t>
  </si>
  <si>
    <t>Logické vstupy</t>
  </si>
  <si>
    <t>kabel</t>
  </si>
  <si>
    <t>Osazená relé</t>
  </si>
  <si>
    <t>pro SSR</t>
  </si>
  <si>
    <t>Paměť záznamů</t>
  </si>
  <si>
    <t>Komunikace</t>
  </si>
  <si>
    <t>Kabel výkonového členu</t>
  </si>
  <si>
    <t>delka</t>
  </si>
  <si>
    <t>Proudová čidla</t>
  </si>
  <si>
    <t>velikost</t>
  </si>
  <si>
    <t>Komunikace - typ  /  kabel</t>
  </si>
  <si>
    <t>Kabel výkonového členu  /  délka</t>
  </si>
  <si>
    <t>Proudová čidla  /  průměr otvorů</t>
  </si>
  <si>
    <t>počet skupin</t>
  </si>
  <si>
    <t>dimenze skupin</t>
  </si>
  <si>
    <t>časová konstanta</t>
  </si>
  <si>
    <t>dovolená odchylka</t>
  </si>
  <si>
    <t>derivační konstanta</t>
  </si>
  <si>
    <t>integrační konstanta</t>
  </si>
  <si>
    <t>poplachová odchylka</t>
  </si>
  <si>
    <t>dovolené zpoždění</t>
  </si>
  <si>
    <t>typ regulace</t>
  </si>
  <si>
    <t>nespojitá</t>
  </si>
  <si>
    <t>P</t>
  </si>
  <si>
    <t>PD</t>
  </si>
  <si>
    <t>PD&amp;I</t>
  </si>
  <si>
    <t>PID</t>
  </si>
  <si>
    <t>PI</t>
  </si>
  <si>
    <t>vypnuto</t>
  </si>
  <si>
    <t>pásmo</t>
  </si>
  <si>
    <t>funkce</t>
  </si>
  <si>
    <t>čidlo</t>
  </si>
  <si>
    <t>min. hod.</t>
  </si>
  <si>
    <t>max. hod.</t>
  </si>
  <si>
    <t>start. hod.</t>
  </si>
  <si>
    <t>tisk/záznam</t>
  </si>
  <si>
    <t>dimenze par.</t>
  </si>
  <si>
    <t>posun hodn.</t>
  </si>
  <si>
    <t>korekce TČ</t>
  </si>
  <si>
    <t>test přerušení TČ</t>
  </si>
  <si>
    <t>kompenzace vedení</t>
  </si>
  <si>
    <t>typ převodu</t>
  </si>
  <si>
    <t>žádný</t>
  </si>
  <si>
    <t>lineární</t>
  </si>
  <si>
    <t>umocněný</t>
  </si>
  <si>
    <t>odmocněný</t>
  </si>
  <si>
    <t>relé / SSR</t>
  </si>
  <si>
    <t>R1</t>
  </si>
  <si>
    <t>R2</t>
  </si>
  <si>
    <t>R3</t>
  </si>
  <si>
    <t>R4</t>
  </si>
  <si>
    <t>R5</t>
  </si>
  <si>
    <t>R6</t>
  </si>
  <si>
    <t>R7</t>
  </si>
  <si>
    <t>R8</t>
  </si>
  <si>
    <t>nepoužité</t>
  </si>
  <si>
    <t>řídicí + 0</t>
  </si>
  <si>
    <t>řídicí + 1</t>
  </si>
  <si>
    <t>řídicí - 0</t>
  </si>
  <si>
    <t>řídicí - 1</t>
  </si>
  <si>
    <t>ochranné</t>
  </si>
  <si>
    <t>signal. chyb</t>
  </si>
  <si>
    <t>signal. běhu</t>
  </si>
  <si>
    <t>úseky</t>
  </si>
  <si>
    <t>servo</t>
  </si>
  <si>
    <t>hlídací</t>
  </si>
  <si>
    <t>ventilátor</t>
  </si>
  <si>
    <t>dosažení #u</t>
  </si>
  <si>
    <t>pojistný sp.</t>
  </si>
  <si>
    <t>řízeno pásmem</t>
  </si>
  <si>
    <t>logika</t>
  </si>
  <si>
    <t>rozepnuto</t>
  </si>
  <si>
    <t>sepnuto</t>
  </si>
  <si>
    <t>nepoužito</t>
  </si>
  <si>
    <t>řídicí spoj.</t>
  </si>
  <si>
    <t>řídicí skok.</t>
  </si>
  <si>
    <t>řízené spoj.</t>
  </si>
  <si>
    <t>řízené skok.</t>
  </si>
  <si>
    <t>ovládácí sp.</t>
  </si>
  <si>
    <t>ovládácí sk.</t>
  </si>
  <si>
    <t>rozhodovací</t>
  </si>
  <si>
    <t>sledovací</t>
  </si>
  <si>
    <t>nárůst-nárůst</t>
  </si>
  <si>
    <t>nárůst-pokles</t>
  </si>
  <si>
    <t>pokles-pokles</t>
  </si>
  <si>
    <t>funkce serva</t>
  </si>
  <si>
    <t>vypnoto</t>
  </si>
  <si>
    <t>zapnuto</t>
  </si>
  <si>
    <t>hystereze</t>
  </si>
  <si>
    <t>2. Servisní nastavení regulátoru</t>
  </si>
  <si>
    <t>2.1. Parametry regulace</t>
  </si>
  <si>
    <t>2.2. Nastavení pásem</t>
  </si>
  <si>
    <t>2.3. Nastavení relé</t>
  </si>
  <si>
    <t>2.4. Nastavení log. vstupů</t>
  </si>
  <si>
    <t>log. vstup</t>
  </si>
  <si>
    <t>LI 1</t>
  </si>
  <si>
    <t>LI 2</t>
  </si>
  <si>
    <t>LI 3</t>
  </si>
  <si>
    <t>LI4</t>
  </si>
  <si>
    <t>2.5. Nastavení analogových výstupů</t>
  </si>
  <si>
    <t>AO 1</t>
  </si>
  <si>
    <t>AO 2</t>
  </si>
  <si>
    <t>AO 3</t>
  </si>
  <si>
    <t>AO 4</t>
  </si>
  <si>
    <t>výstup</t>
  </si>
  <si>
    <t>řízen pásmem</t>
  </si>
  <si>
    <t>nepoužit</t>
  </si>
  <si>
    <t>start prog.</t>
  </si>
  <si>
    <t>stop prog.</t>
  </si>
  <si>
    <t>beh prog.</t>
  </si>
  <si>
    <t>start když</t>
  </si>
  <si>
    <t>2.6. Servisní nastavení parametrů</t>
  </si>
  <si>
    <t>typ programu</t>
  </si>
  <si>
    <t>pouze čas</t>
  </si>
  <si>
    <t>strmost + čas</t>
  </si>
  <si>
    <t>jednotky času</t>
  </si>
  <si>
    <t>trvání poruch</t>
  </si>
  <si>
    <t>zpoždění kontrol</t>
  </si>
  <si>
    <t>zpoždění relé</t>
  </si>
  <si>
    <t>2.7. Kontrola fází</t>
  </si>
  <si>
    <t>Ano  /  Ne</t>
  </si>
  <si>
    <t>kontrola fazí</t>
  </si>
  <si>
    <t>2.8. Nastavení komunikace</t>
  </si>
  <si>
    <t>síťová adresa</t>
  </si>
  <si>
    <t>komunik. rychlost</t>
  </si>
  <si>
    <t>2400 bd</t>
  </si>
  <si>
    <t>9600 bd</t>
  </si>
  <si>
    <t>19200 bd</t>
  </si>
  <si>
    <t>38400 bd</t>
  </si>
  <si>
    <t>57600 bd</t>
  </si>
  <si>
    <t>115200 bd</t>
  </si>
  <si>
    <t>2.9. Nastavení tiskárny</t>
  </si>
  <si>
    <t>typ komunikace</t>
  </si>
  <si>
    <t>3. Poznámky</t>
  </si>
  <si>
    <t>2.10. Nastavení programu</t>
  </si>
  <si>
    <t>doba výpadku</t>
  </si>
  <si>
    <t>zobrazovat</t>
  </si>
  <si>
    <t>ukončení prg.</t>
  </si>
  <si>
    <t>spouštět opakov.</t>
  </si>
  <si>
    <t>opakovaně spouštění</t>
  </si>
  <si>
    <t>vypočitané hod.</t>
  </si>
  <si>
    <t>cílové hod.</t>
  </si>
  <si>
    <t>čas</t>
  </si>
  <si>
    <t>řízený pokles</t>
  </si>
  <si>
    <t>neřízený pokles</t>
  </si>
  <si>
    <t>nekoneč. výdrž</t>
  </si>
  <si>
    <t>zvuk signalizace</t>
  </si>
  <si>
    <t>zaznamenávat</t>
  </si>
  <si>
    <t>intervál záznamu</t>
  </si>
  <si>
    <t>tisknout</t>
  </si>
  <si>
    <t>zvuk</t>
  </si>
  <si>
    <t>vše</t>
  </si>
  <si>
    <t>vybrané</t>
  </si>
  <si>
    <t>Protokol o zadání a výstupní kontrole regulátoru R500</t>
  </si>
  <si>
    <t>proporcionalní konst.</t>
  </si>
  <si>
    <t>tisk</t>
  </si>
  <si>
    <t>zaznam</t>
  </si>
  <si>
    <t>tč</t>
  </si>
  <si>
    <t>kontrola proudu</t>
  </si>
  <si>
    <t>Kontrola</t>
  </si>
  <si>
    <t>R500</t>
  </si>
  <si>
    <t>-</t>
  </si>
  <si>
    <t>test</t>
  </si>
  <si>
    <t>korekce</t>
  </si>
  <si>
    <t>minuty (h:m)</t>
  </si>
  <si>
    <t>sekundy (m:s)</t>
  </si>
  <si>
    <t>ms</t>
  </si>
  <si>
    <t>s</t>
  </si>
  <si>
    <t>°C</t>
  </si>
  <si>
    <t>min</t>
  </si>
  <si>
    <t xml:space="preserve">R101 - </t>
  </si>
  <si>
    <t>Regulátor R101 v konfiguraci:</t>
  </si>
  <si>
    <t xml:space="preserve">R251 - </t>
  </si>
  <si>
    <t>Počet výstupů</t>
  </si>
  <si>
    <t xml:space="preserve">       z toho SSR</t>
  </si>
  <si>
    <t>pasem</t>
  </si>
  <si>
    <t>vystupů</t>
  </si>
  <si>
    <t>vystupu</t>
  </si>
  <si>
    <t>rele</t>
  </si>
  <si>
    <t>platim</t>
  </si>
  <si>
    <t>balkon</t>
  </si>
  <si>
    <t>cena:</t>
  </si>
  <si>
    <t>odporový R300 (Pt100)</t>
  </si>
  <si>
    <t>odporový R3000 (Pt500, Pt1000, Ni1000)</t>
  </si>
  <si>
    <t>napěťový - termočlánek (S, K, J, C)</t>
  </si>
  <si>
    <t>napěťový - termočlánek (B, C, E, J, K, N, R, S, T)</t>
  </si>
  <si>
    <t>0,7m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</si>
</sst>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[$-405]d\.\ mmmm\ yyyy"/>
    <numFmt numFmtId="167" formatCode="[$-F800]dddd\,\ mmmm\ dd\,\ yyyy"/>
    <numFmt numFmtId="168" formatCode="0;[Red]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8"/>
      <color indexed="4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"/>
      <family val="1"/>
    </font>
    <font>
      <b/>
      <sz val="10"/>
      <name val="Times New Roman"/>
      <family val="1"/>
    </font>
    <font>
      <sz val="9"/>
      <color indexed="8"/>
      <name val="Arial"/>
      <family val="0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Alignment="1" applyProtection="1">
      <alignment horizontal="right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right" vertical="center" wrapText="1"/>
      <protection hidden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hidden="1" locked="0"/>
    </xf>
    <xf numFmtId="0" fontId="0" fillId="0" borderId="0" xfId="0" applyAlignment="1">
      <alignment horizontal="left"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hidden="1" locked="0"/>
    </xf>
    <xf numFmtId="0" fontId="0" fillId="0" borderId="0" xfId="0" applyNumberFormat="1" applyBorder="1" applyAlignment="1" applyProtection="1">
      <alignment horizontal="right"/>
      <protection hidden="1" locked="0"/>
    </xf>
    <xf numFmtId="0" fontId="1" fillId="0" borderId="0" xfId="0" applyNumberFormat="1" applyFont="1" applyAlignment="1" applyProtection="1">
      <alignment horizontal="right" vertical="center"/>
      <protection hidden="1"/>
    </xf>
    <xf numFmtId="0" fontId="1" fillId="0" borderId="0" xfId="0" applyNumberFormat="1" applyFont="1" applyAlignment="1" applyProtection="1">
      <alignment horizontal="right" vertical="center"/>
      <protection hidden="1" locked="0"/>
    </xf>
    <xf numFmtId="0" fontId="0" fillId="0" borderId="0" xfId="0" applyNumberFormat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4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3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2" borderId="6" xfId="0" applyFill="1" applyBorder="1" applyAlignment="1">
      <alignment/>
    </xf>
    <xf numFmtId="49" fontId="0" fillId="0" borderId="0" xfId="0" applyNumberFormat="1" applyBorder="1" applyAlignment="1" applyProtection="1">
      <alignment horizontal="left"/>
      <protection hidden="1" locked="0"/>
    </xf>
    <xf numFmtId="0" fontId="0" fillId="0" borderId="0" xfId="0" applyNumberFormat="1" applyFill="1" applyBorder="1" applyAlignment="1" applyProtection="1">
      <alignment horizontal="left" vertical="center" wrapText="1"/>
      <protection hidden="1" locked="0"/>
    </xf>
    <xf numFmtId="3" fontId="0" fillId="0" borderId="0" xfId="0" applyNumberFormat="1" applyFill="1" applyBorder="1" applyAlignment="1" applyProtection="1">
      <alignment horizontal="left" vertical="center" wrapText="1"/>
      <protection hidden="1" locked="0"/>
    </xf>
    <xf numFmtId="0" fontId="3" fillId="3" borderId="7" xfId="0" applyNumberFormat="1" applyFont="1" applyFill="1" applyBorder="1" applyAlignment="1" applyProtection="1">
      <alignment horizontal="left" vertical="center" wrapText="1"/>
      <protection hidden="1" locked="0"/>
    </xf>
    <xf numFmtId="49" fontId="0" fillId="0" borderId="0" xfId="0" applyNumberFormat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horizontal="left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3" fillId="3" borderId="7" xfId="0" applyNumberFormat="1" applyFont="1" applyFill="1" applyBorder="1" applyAlignment="1" applyProtection="1">
      <alignment horizontal="left" vertical="center" wrapText="1"/>
      <protection hidden="1" locked="0"/>
    </xf>
    <xf numFmtId="3" fontId="0" fillId="0" borderId="0" xfId="0" applyNumberForma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167" fontId="1" fillId="3" borderId="7" xfId="0" applyNumberFormat="1" applyFont="1" applyFill="1" applyBorder="1" applyAlignment="1" applyProtection="1">
      <alignment horizontal="left" vertical="center" wrapText="1"/>
      <protection hidden="1" locked="0"/>
    </xf>
    <xf numFmtId="0" fontId="6" fillId="3" borderId="7" xfId="17" applyNumberFormat="1" applyFont="1" applyFill="1" applyBorder="1" applyAlignment="1" applyProtection="1">
      <alignment horizontal="left" vertical="center" wrapText="1"/>
      <protection hidden="1" locked="0"/>
    </xf>
    <xf numFmtId="164" fontId="0" fillId="0" borderId="2" xfId="0" applyNumberFormat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164" fontId="0" fillId="0" borderId="0" xfId="0" applyNumberForma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0" xfId="0" applyAlignment="1">
      <alignment vertical="center"/>
    </xf>
    <xf numFmtId="1" fontId="1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0" fontId="0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2" fillId="0" borderId="0" xfId="0" applyFont="1" applyAlignment="1" applyProtection="1">
      <alignment horizontal="right"/>
      <protection hidden="1" locked="0"/>
    </xf>
    <xf numFmtId="0" fontId="0" fillId="0" borderId="11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64" fontId="0" fillId="0" borderId="10" xfId="0" applyNumberForma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vertical="center"/>
      <protection hidden="1"/>
    </xf>
    <xf numFmtId="164" fontId="0" fillId="4" borderId="0" xfId="0" applyNumberFormat="1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2" borderId="6" xfId="0" applyFill="1" applyBorder="1" applyAlignment="1" applyProtection="1">
      <alignment/>
      <protection hidden="1"/>
    </xf>
    <xf numFmtId="167" fontId="0" fillId="0" borderId="0" xfId="0" applyNumberForma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hidden="1"/>
    </xf>
    <xf numFmtId="3" fontId="0" fillId="0" borderId="0" xfId="0" applyNumberFormat="1" applyAlignment="1" applyProtection="1">
      <alignment horizontal="left" vertical="center"/>
      <protection hidden="1"/>
    </xf>
    <xf numFmtId="0" fontId="0" fillId="0" borderId="0" xfId="0" applyNumberFormat="1" applyAlignment="1" applyProtection="1">
      <alignment horizontal="left" vertical="top"/>
      <protection hidden="1"/>
    </xf>
    <xf numFmtId="0" fontId="3" fillId="0" borderId="4" xfId="0" applyNumberFormat="1" applyFont="1" applyBorder="1" applyAlignment="1" applyProtection="1">
      <alignment horizontal="left"/>
      <protection hidden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13" fillId="0" borderId="0" xfId="0" applyNumberFormat="1" applyFont="1" applyFill="1" applyBorder="1" applyAlignment="1">
      <alignment vertical="center"/>
    </xf>
    <xf numFmtId="0" fontId="13" fillId="5" borderId="11" xfId="0" applyFont="1" applyFill="1" applyBorder="1" applyAlignment="1">
      <alignment vertical="center"/>
    </xf>
    <xf numFmtId="0" fontId="13" fillId="5" borderId="10" xfId="0" applyFont="1" applyFill="1" applyBorder="1" applyAlignment="1">
      <alignment vertical="center"/>
    </xf>
    <xf numFmtId="0" fontId="16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167" fontId="0" fillId="0" borderId="0" xfId="0" applyNumberFormat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 vertical="center"/>
      <protection hidden="1"/>
    </xf>
    <xf numFmtId="1" fontId="0" fillId="0" borderId="0" xfId="0" applyNumberFormat="1" applyAlignment="1">
      <alignment/>
    </xf>
    <xf numFmtId="0" fontId="0" fillId="0" borderId="0" xfId="0" applyAlignment="1">
      <alignment horizontal="center" textRotation="90"/>
    </xf>
    <xf numFmtId="0" fontId="0" fillId="0" borderId="12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15" fillId="5" borderId="0" xfId="0" applyFont="1" applyFill="1" applyAlignment="1">
      <alignment horizontal="left"/>
    </xf>
    <xf numFmtId="0" fontId="15" fillId="5" borderId="0" xfId="0" applyFon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textRotation="9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 applyProtection="1">
      <alignment horizontal="center" vertical="center"/>
      <protection hidden="1" locked="0"/>
    </xf>
    <xf numFmtId="0" fontId="0" fillId="3" borderId="10" xfId="0" applyFill="1" applyBorder="1" applyAlignment="1" applyProtection="1">
      <alignment horizontal="center" vertical="center"/>
      <protection hidden="1" locked="0"/>
    </xf>
    <xf numFmtId="0" fontId="3" fillId="3" borderId="13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0" fillId="3" borderId="13" xfId="0" applyNumberFormat="1" applyFill="1" applyBorder="1" applyAlignment="1" applyProtection="1">
      <alignment horizontal="right"/>
      <protection hidden="1" locked="0"/>
    </xf>
    <xf numFmtId="0" fontId="0" fillId="3" borderId="13" xfId="0" applyNumberFormat="1" applyFill="1" applyBorder="1" applyAlignment="1" applyProtection="1">
      <alignment horizontal="right"/>
      <protection hidden="1" locked="0"/>
    </xf>
    <xf numFmtId="164" fontId="3" fillId="3" borderId="14" xfId="0" applyNumberFormat="1" applyFont="1" applyFill="1" applyBorder="1" applyAlignment="1" applyProtection="1">
      <alignment horizont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8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1" fontId="0" fillId="5" borderId="0" xfId="0" applyNumberFormat="1" applyFill="1" applyAlignment="1">
      <alignment horizontal="right"/>
    </xf>
    <xf numFmtId="0" fontId="0" fillId="5" borderId="1" xfId="0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5" borderId="1" xfId="0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/>
    </xf>
    <xf numFmtId="168" fontId="1" fillId="5" borderId="1" xfId="0" applyNumberFormat="1" applyFont="1" applyFill="1" applyBorder="1" applyAlignment="1">
      <alignment horizontal="left"/>
    </xf>
    <xf numFmtId="0" fontId="2" fillId="0" borderId="0" xfId="0" applyFont="1" applyAlignment="1" applyProtection="1">
      <alignment horizontal="center"/>
      <protection hidden="1"/>
    </xf>
    <xf numFmtId="0" fontId="0" fillId="4" borderId="0" xfId="0" applyFill="1" applyAlignment="1">
      <alignment horizontal="left"/>
    </xf>
    <xf numFmtId="0" fontId="0" fillId="6" borderId="0" xfId="0" applyFill="1" applyAlignment="1" applyProtection="1">
      <alignment/>
      <protection hidden="1" locked="0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center" vertical="center" textRotation="90"/>
      <protection hidden="1" locked="0"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4" xfId="0" applyBorder="1" applyAlignment="1" applyProtection="1">
      <alignment horizontal="right"/>
      <protection hidden="1"/>
    </xf>
    <xf numFmtId="164" fontId="1" fillId="0" borderId="4" xfId="0" applyNumberFormat="1" applyFont="1" applyBorder="1" applyAlignment="1" applyProtection="1">
      <alignment horizontal="center"/>
      <protection hidden="1"/>
    </xf>
    <xf numFmtId="0" fontId="0" fillId="0" borderId="4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0" xfId="0" applyFill="1" applyAlignment="1">
      <alignment horizontal="left"/>
    </xf>
    <xf numFmtId="0" fontId="3" fillId="0" borderId="0" xfId="0" applyNumberFormat="1" applyFont="1" applyAlignment="1" applyProtection="1">
      <alignment horizontal="left"/>
      <protection hidden="1"/>
    </xf>
    <xf numFmtId="0" fontId="0" fillId="0" borderId="8" xfId="0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left"/>
      <protection hidden="1"/>
    </xf>
    <xf numFmtId="0" fontId="1" fillId="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/>
      <protection hidden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" xfId="0" applyBorder="1" applyAlignment="1">
      <alignment horizontal="right"/>
    </xf>
    <xf numFmtId="0" fontId="3" fillId="3" borderId="15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Border="1" applyAlignment="1" applyProtection="1">
      <alignment horizontal="left" vertical="center" wrapText="1"/>
      <protection hidden="1" locked="0"/>
    </xf>
    <xf numFmtId="0" fontId="0" fillId="0" borderId="16" xfId="0" applyBorder="1" applyAlignment="1" applyProtection="1">
      <alignment horizontal="left" vertical="top" wrapText="1"/>
      <protection hidden="1" locked="0"/>
    </xf>
    <xf numFmtId="0" fontId="0" fillId="0" borderId="4" xfId="0" applyBorder="1" applyAlignment="1" applyProtection="1">
      <alignment horizontal="left" vertical="top" wrapText="1"/>
      <protection hidden="1" locked="0"/>
    </xf>
    <xf numFmtId="0" fontId="0" fillId="0" borderId="17" xfId="0" applyBorder="1" applyAlignment="1" applyProtection="1">
      <alignment horizontal="left" vertical="top" wrapText="1"/>
      <protection hidden="1" locked="0"/>
    </xf>
    <xf numFmtId="0" fontId="0" fillId="0" borderId="18" xfId="0" applyBorder="1" applyAlignment="1" applyProtection="1">
      <alignment horizontal="left" vertical="top" wrapText="1"/>
      <protection hidden="1" locked="0"/>
    </xf>
    <xf numFmtId="0" fontId="0" fillId="0" borderId="0" xfId="0" applyBorder="1" applyAlignment="1" applyProtection="1">
      <alignment horizontal="left" vertical="top" wrapText="1"/>
      <protection hidden="1" locked="0"/>
    </xf>
    <xf numFmtId="0" fontId="0" fillId="0" borderId="19" xfId="0" applyBorder="1" applyAlignment="1" applyProtection="1">
      <alignment horizontal="left" vertical="top" wrapText="1"/>
      <protection hidden="1" locked="0"/>
    </xf>
    <xf numFmtId="0" fontId="0" fillId="0" borderId="20" xfId="0" applyBorder="1" applyAlignment="1" applyProtection="1">
      <alignment horizontal="left" vertical="top" wrapText="1"/>
      <protection hidden="1" locked="0"/>
    </xf>
    <xf numFmtId="0" fontId="0" fillId="0" borderId="3" xfId="0" applyBorder="1" applyAlignment="1" applyProtection="1">
      <alignment horizontal="left" vertical="top" wrapText="1"/>
      <protection hidden="1" locked="0"/>
    </xf>
    <xf numFmtId="0" fontId="0" fillId="0" borderId="21" xfId="0" applyBorder="1" applyAlignment="1" applyProtection="1">
      <alignment horizontal="left" vertical="top" wrapText="1"/>
      <protection hidden="1" locked="0"/>
    </xf>
    <xf numFmtId="0" fontId="0" fillId="7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0" fillId="5" borderId="11" xfId="0" applyFill="1" applyBorder="1" applyAlignment="1" applyProtection="1">
      <alignment horizontal="center"/>
      <protection hidden="1" locked="0"/>
    </xf>
    <xf numFmtId="0" fontId="0" fillId="5" borderId="1" xfId="0" applyFill="1" applyBorder="1" applyAlignment="1" applyProtection="1">
      <alignment horizontal="center"/>
      <protection hidden="1" locked="0"/>
    </xf>
    <xf numFmtId="0" fontId="0" fillId="5" borderId="10" xfId="0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right"/>
      <protection hidden="1" locked="0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13" fillId="5" borderId="22" xfId="0" applyNumberFormat="1" applyFont="1" applyFill="1" applyBorder="1" applyAlignment="1" applyProtection="1">
      <alignment horizontal="center" vertical="center"/>
      <protection hidden="1"/>
    </xf>
    <xf numFmtId="1" fontId="13" fillId="5" borderId="23" xfId="0" applyNumberFormat="1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left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2" fillId="0" borderId="0" xfId="0" applyFont="1" applyBorder="1" applyAlignment="1">
      <alignment horizontal="left"/>
    </xf>
    <xf numFmtId="0" fontId="0" fillId="0" borderId="0" xfId="0" applyAlignment="1" applyProtection="1">
      <alignment horizontal="left" vertical="center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7" fillId="5" borderId="1" xfId="0" applyFont="1" applyFill="1" applyBorder="1" applyAlignment="1" applyProtection="1">
      <alignment horizontal="right"/>
      <protection hidden="1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Border="1" applyAlignment="1" applyProtection="1">
      <alignment horizontal="left" vertical="center" wrapText="1"/>
      <protection hidden="1"/>
    </xf>
    <xf numFmtId="1" fontId="13" fillId="5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NumberFormat="1" applyAlignment="1" applyProtection="1">
      <alignment horizontal="left" vertical="top"/>
      <protection hidden="1"/>
    </xf>
    <xf numFmtId="3" fontId="0" fillId="0" borderId="0" xfId="0" applyNumberFormat="1" applyAlignment="1" applyProtection="1">
      <alignment horizontal="left"/>
      <protection hidden="1"/>
    </xf>
    <xf numFmtId="3" fontId="0" fillId="0" borderId="0" xfId="0" applyNumberFormat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left" vertical="center"/>
      <protection hidden="1"/>
    </xf>
    <xf numFmtId="0" fontId="3" fillId="0" borderId="4" xfId="0" applyNumberFormat="1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right" vertical="center"/>
      <protection hidden="1"/>
    </xf>
    <xf numFmtId="0" fontId="0" fillId="0" borderId="0" xfId="0" applyNumberFormat="1" applyAlignment="1" applyProtection="1">
      <alignment horizontal="left" vertical="center"/>
      <protection hidden="1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11" fillId="3" borderId="11" xfId="0" applyFont="1" applyFill="1" applyBorder="1" applyAlignment="1" applyProtection="1">
      <alignment horizontal="center"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FF00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0</xdr:rowOff>
    </xdr:from>
    <xdr:to>
      <xdr:col>6</xdr:col>
      <xdr:colOff>161925</xdr:colOff>
      <xdr:row>8</xdr:row>
      <xdr:rowOff>9525</xdr:rowOff>
    </xdr:to>
    <xdr:sp>
      <xdr:nvSpPr>
        <xdr:cNvPr id="1" name="AutoShape 38"/>
        <xdr:cNvSpPr>
          <a:spLocks/>
        </xdr:cNvSpPr>
      </xdr:nvSpPr>
      <xdr:spPr>
        <a:xfrm flipV="1">
          <a:off x="3533775" y="981075"/>
          <a:ext cx="133350" cy="200025"/>
        </a:xfrm>
        <a:prstGeom prst="bentConnector2">
          <a:avLst>
            <a:gd name="adj1" fmla="val -2125000"/>
            <a:gd name="adj2" fmla="val 240476"/>
            <a:gd name="adj3" fmla="val -21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200025</xdr:rowOff>
    </xdr:from>
    <xdr:to>
      <xdr:col>8</xdr:col>
      <xdr:colOff>171450</xdr:colOff>
      <xdr:row>13</xdr:row>
      <xdr:rowOff>9525</xdr:rowOff>
    </xdr:to>
    <xdr:sp>
      <xdr:nvSpPr>
        <xdr:cNvPr id="2" name="AutoShape 39"/>
        <xdr:cNvSpPr>
          <a:spLocks/>
        </xdr:cNvSpPr>
      </xdr:nvSpPr>
      <xdr:spPr>
        <a:xfrm flipV="1">
          <a:off x="3524250" y="971550"/>
          <a:ext cx="914400" cy="590550"/>
        </a:xfrm>
        <a:prstGeom prst="bentConnector2">
          <a:avLst>
            <a:gd name="adj1" fmla="val -520731"/>
            <a:gd name="adj2" fmla="val 91490"/>
            <a:gd name="adj3" fmla="val -5207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0</xdr:rowOff>
    </xdr:from>
    <xdr:to>
      <xdr:col>11</xdr:col>
      <xdr:colOff>171450</xdr:colOff>
      <xdr:row>18</xdr:row>
      <xdr:rowOff>9525</xdr:rowOff>
    </xdr:to>
    <xdr:sp>
      <xdr:nvSpPr>
        <xdr:cNvPr id="3" name="AutoShape 42"/>
        <xdr:cNvSpPr>
          <a:spLocks/>
        </xdr:cNvSpPr>
      </xdr:nvSpPr>
      <xdr:spPr>
        <a:xfrm flipV="1">
          <a:off x="3524250" y="981075"/>
          <a:ext cx="2057400" cy="923925"/>
        </a:xfrm>
        <a:prstGeom prst="bentConnector2">
          <a:avLst>
            <a:gd name="adj1" fmla="val -263259"/>
            <a:gd name="adj2" fmla="val 69902"/>
            <a:gd name="adj3" fmla="val -26325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0</xdr:rowOff>
    </xdr:from>
    <xdr:to>
      <xdr:col>6</xdr:col>
      <xdr:colOff>161925</xdr:colOff>
      <xdr:row>8</xdr:row>
      <xdr:rowOff>9525</xdr:rowOff>
    </xdr:to>
    <xdr:sp>
      <xdr:nvSpPr>
        <xdr:cNvPr id="1" name="AutoShape 10"/>
        <xdr:cNvSpPr>
          <a:spLocks/>
        </xdr:cNvSpPr>
      </xdr:nvSpPr>
      <xdr:spPr>
        <a:xfrm flipV="1">
          <a:off x="3590925" y="962025"/>
          <a:ext cx="133350" cy="200025"/>
        </a:xfrm>
        <a:prstGeom prst="bentConnector2">
          <a:avLst>
            <a:gd name="adj1" fmla="val -2125000"/>
            <a:gd name="adj2" fmla="val 240476"/>
            <a:gd name="adj3" fmla="val -21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200025</xdr:rowOff>
    </xdr:from>
    <xdr:to>
      <xdr:col>8</xdr:col>
      <xdr:colOff>171450</xdr:colOff>
      <xdr:row>14</xdr:row>
      <xdr:rowOff>9525</xdr:rowOff>
    </xdr:to>
    <xdr:sp>
      <xdr:nvSpPr>
        <xdr:cNvPr id="2" name="AutoShape 11"/>
        <xdr:cNvSpPr>
          <a:spLocks/>
        </xdr:cNvSpPr>
      </xdr:nvSpPr>
      <xdr:spPr>
        <a:xfrm flipV="1">
          <a:off x="3581400" y="952500"/>
          <a:ext cx="781050" cy="552450"/>
        </a:xfrm>
        <a:prstGeom prst="bentConnector2">
          <a:avLst>
            <a:gd name="adj1" fmla="val -520731"/>
            <a:gd name="adj2" fmla="val 91490"/>
            <a:gd name="adj3" fmla="val -52073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0</xdr:rowOff>
    </xdr:from>
    <xdr:to>
      <xdr:col>9</xdr:col>
      <xdr:colOff>171450</xdr:colOff>
      <xdr:row>19</xdr:row>
      <xdr:rowOff>9525</xdr:rowOff>
    </xdr:to>
    <xdr:sp>
      <xdr:nvSpPr>
        <xdr:cNvPr id="3" name="AutoShape 12"/>
        <xdr:cNvSpPr>
          <a:spLocks/>
        </xdr:cNvSpPr>
      </xdr:nvSpPr>
      <xdr:spPr>
        <a:xfrm flipV="1">
          <a:off x="3581400" y="962025"/>
          <a:ext cx="1095375" cy="885825"/>
        </a:xfrm>
        <a:prstGeom prst="bentConnector2">
          <a:avLst>
            <a:gd name="adj1" fmla="val -385652"/>
            <a:gd name="adj2" fmla="val 81009"/>
            <a:gd name="adj3" fmla="val -38565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0</xdr:rowOff>
    </xdr:from>
    <xdr:to>
      <xdr:col>11</xdr:col>
      <xdr:colOff>171450</xdr:colOff>
      <xdr:row>24</xdr:row>
      <xdr:rowOff>9525</xdr:rowOff>
    </xdr:to>
    <xdr:sp>
      <xdr:nvSpPr>
        <xdr:cNvPr id="4" name="AutoShape 14"/>
        <xdr:cNvSpPr>
          <a:spLocks/>
        </xdr:cNvSpPr>
      </xdr:nvSpPr>
      <xdr:spPr>
        <a:xfrm flipV="1">
          <a:off x="3581400" y="962025"/>
          <a:ext cx="1724025" cy="1228725"/>
        </a:xfrm>
        <a:prstGeom prst="bentConnector2">
          <a:avLst>
            <a:gd name="adj1" fmla="val -263259"/>
            <a:gd name="adj2" fmla="val 69902"/>
            <a:gd name="adj3" fmla="val -26325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11</xdr:col>
      <xdr:colOff>133350</xdr:colOff>
      <xdr:row>8</xdr:row>
      <xdr:rowOff>142875</xdr:rowOff>
    </xdr:to>
    <xdr:sp>
      <xdr:nvSpPr>
        <xdr:cNvPr id="1" name="AutoShape 13"/>
        <xdr:cNvSpPr>
          <a:spLocks/>
        </xdr:cNvSpPr>
      </xdr:nvSpPr>
      <xdr:spPr>
        <a:xfrm flipV="1">
          <a:off x="3914775" y="742950"/>
          <a:ext cx="1733550" cy="657225"/>
        </a:xfrm>
        <a:prstGeom prst="bentConnector3">
          <a:avLst>
            <a:gd name="adj1" fmla="val 100000"/>
            <a:gd name="adj2" fmla="val 173912"/>
            <a:gd name="adj3" fmla="val -17914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10</xdr:col>
      <xdr:colOff>123825</xdr:colOff>
      <xdr:row>6</xdr:row>
      <xdr:rowOff>142875</xdr:rowOff>
    </xdr:to>
    <xdr:sp>
      <xdr:nvSpPr>
        <xdr:cNvPr id="2" name="AutoShape 14"/>
        <xdr:cNvSpPr>
          <a:spLocks/>
        </xdr:cNvSpPr>
      </xdr:nvSpPr>
      <xdr:spPr>
        <a:xfrm flipV="1">
          <a:off x="3914775" y="742950"/>
          <a:ext cx="1485900" cy="323850"/>
        </a:xfrm>
        <a:prstGeom prst="bentConnector3">
          <a:avLst>
            <a:gd name="adj1" fmla="val 100000"/>
            <a:gd name="adj2" fmla="val 225925"/>
            <a:gd name="adj3" fmla="val -20240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12</xdr:col>
      <xdr:colOff>133350</xdr:colOff>
      <xdr:row>10</xdr:row>
      <xdr:rowOff>152400</xdr:rowOff>
    </xdr:to>
    <xdr:sp>
      <xdr:nvSpPr>
        <xdr:cNvPr id="3" name="AutoShape 15"/>
        <xdr:cNvSpPr>
          <a:spLocks/>
        </xdr:cNvSpPr>
      </xdr:nvSpPr>
      <xdr:spPr>
        <a:xfrm flipV="1">
          <a:off x="3924300" y="742950"/>
          <a:ext cx="1971675" cy="1000125"/>
        </a:xfrm>
        <a:prstGeom prst="bentConnector3">
          <a:avLst>
            <a:gd name="adj1" fmla="val 100000"/>
            <a:gd name="adj2" fmla="val 151907"/>
            <a:gd name="adj3" fmla="val -16230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13</xdr:col>
      <xdr:colOff>123825</xdr:colOff>
      <xdr:row>12</xdr:row>
      <xdr:rowOff>152400</xdr:rowOff>
    </xdr:to>
    <xdr:sp>
      <xdr:nvSpPr>
        <xdr:cNvPr id="4" name="AutoShape 16"/>
        <xdr:cNvSpPr>
          <a:spLocks/>
        </xdr:cNvSpPr>
      </xdr:nvSpPr>
      <xdr:spPr>
        <a:xfrm flipV="1">
          <a:off x="3914775" y="742950"/>
          <a:ext cx="2219325" cy="1333500"/>
        </a:xfrm>
        <a:prstGeom prst="bentConnector3">
          <a:avLst>
            <a:gd name="adj1" fmla="val 100000"/>
            <a:gd name="adj2" fmla="val 140236"/>
            <a:gd name="adj3" fmla="val -14720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133350</xdr:colOff>
      <xdr:row>14</xdr:row>
      <xdr:rowOff>152400</xdr:rowOff>
    </xdr:to>
    <xdr:sp>
      <xdr:nvSpPr>
        <xdr:cNvPr id="5" name="AutoShape 17"/>
        <xdr:cNvSpPr>
          <a:spLocks/>
        </xdr:cNvSpPr>
      </xdr:nvSpPr>
      <xdr:spPr>
        <a:xfrm flipV="1">
          <a:off x="3914775" y="742950"/>
          <a:ext cx="2476500" cy="1714500"/>
        </a:xfrm>
        <a:prstGeom prst="bentConnector3">
          <a:avLst>
            <a:gd name="adj1" fmla="val 100000"/>
            <a:gd name="adj2" fmla="val 132074"/>
            <a:gd name="adj3" fmla="val -13450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15</xdr:col>
      <xdr:colOff>114300</xdr:colOff>
      <xdr:row>16</xdr:row>
      <xdr:rowOff>142875</xdr:rowOff>
    </xdr:to>
    <xdr:sp>
      <xdr:nvSpPr>
        <xdr:cNvPr id="6" name="AutoShape 18"/>
        <xdr:cNvSpPr>
          <a:spLocks/>
        </xdr:cNvSpPr>
      </xdr:nvSpPr>
      <xdr:spPr>
        <a:xfrm flipV="1">
          <a:off x="3924300" y="742950"/>
          <a:ext cx="2695575" cy="2066925"/>
        </a:xfrm>
        <a:prstGeom prst="bentConnector3">
          <a:avLst>
            <a:gd name="adj1" fmla="val 100000"/>
            <a:gd name="adj2" fmla="val 126986"/>
            <a:gd name="adj3" fmla="val -14483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16</xdr:col>
      <xdr:colOff>114300</xdr:colOff>
      <xdr:row>18</xdr:row>
      <xdr:rowOff>142875</xdr:rowOff>
    </xdr:to>
    <xdr:sp>
      <xdr:nvSpPr>
        <xdr:cNvPr id="7" name="AutoShape 19"/>
        <xdr:cNvSpPr>
          <a:spLocks/>
        </xdr:cNvSpPr>
      </xdr:nvSpPr>
      <xdr:spPr>
        <a:xfrm flipV="1">
          <a:off x="3914775" y="742950"/>
          <a:ext cx="2952750" cy="2428875"/>
        </a:xfrm>
        <a:prstGeom prst="bentConnector2">
          <a:avLst>
            <a:gd name="adj1" fmla="val -240277"/>
            <a:gd name="adj2" fmla="val 80587"/>
            <a:gd name="adj3" fmla="val -24027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17</xdr:col>
      <xdr:colOff>123825</xdr:colOff>
      <xdr:row>20</xdr:row>
      <xdr:rowOff>152400</xdr:rowOff>
    </xdr:to>
    <xdr:sp>
      <xdr:nvSpPr>
        <xdr:cNvPr id="8" name="AutoShape 20"/>
        <xdr:cNvSpPr>
          <a:spLocks/>
        </xdr:cNvSpPr>
      </xdr:nvSpPr>
      <xdr:spPr>
        <a:xfrm rot="16200000">
          <a:off x="3914775" y="742950"/>
          <a:ext cx="3209925" cy="2800350"/>
        </a:xfrm>
        <a:prstGeom prst="bentConnector3">
          <a:avLst>
            <a:gd name="adj1" fmla="val -4"/>
            <a:gd name="adj2" fmla="val -122986"/>
            <a:gd name="adj3" fmla="val -11802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18</xdr:col>
      <xdr:colOff>123825</xdr:colOff>
      <xdr:row>22</xdr:row>
      <xdr:rowOff>161925</xdr:rowOff>
    </xdr:to>
    <xdr:sp>
      <xdr:nvSpPr>
        <xdr:cNvPr id="9" name="AutoShape 21"/>
        <xdr:cNvSpPr>
          <a:spLocks/>
        </xdr:cNvSpPr>
      </xdr:nvSpPr>
      <xdr:spPr>
        <a:xfrm rot="16200000">
          <a:off x="3914775" y="742950"/>
          <a:ext cx="3457575" cy="3171825"/>
        </a:xfrm>
        <a:prstGeom prst="bentConnector3">
          <a:avLst>
            <a:gd name="adj1" fmla="val -4"/>
            <a:gd name="adj2" fmla="val -125763"/>
            <a:gd name="adj3" fmla="val -10518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304800</xdr:rowOff>
    </xdr:from>
    <xdr:to>
      <xdr:col>19</xdr:col>
      <xdr:colOff>114300</xdr:colOff>
      <xdr:row>24</xdr:row>
      <xdr:rowOff>142875</xdr:rowOff>
    </xdr:to>
    <xdr:sp>
      <xdr:nvSpPr>
        <xdr:cNvPr id="10" name="AutoShape 22"/>
        <xdr:cNvSpPr>
          <a:spLocks/>
        </xdr:cNvSpPr>
      </xdr:nvSpPr>
      <xdr:spPr>
        <a:xfrm rot="16200000">
          <a:off x="5276850" y="733425"/>
          <a:ext cx="2333625" cy="3524250"/>
        </a:xfrm>
        <a:prstGeom prst="bentConnector3">
          <a:avLst>
            <a:gd name="adj1" fmla="val -143"/>
            <a:gd name="adj2" fmla="val -186120"/>
            <a:gd name="adj3" fmla="val -12201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20</xdr:col>
      <xdr:colOff>123825</xdr:colOff>
      <xdr:row>26</xdr:row>
      <xdr:rowOff>133350</xdr:rowOff>
    </xdr:to>
    <xdr:sp>
      <xdr:nvSpPr>
        <xdr:cNvPr id="11" name="AutoShape 24"/>
        <xdr:cNvSpPr>
          <a:spLocks/>
        </xdr:cNvSpPr>
      </xdr:nvSpPr>
      <xdr:spPr>
        <a:xfrm rot="16200000">
          <a:off x="4914900" y="742950"/>
          <a:ext cx="2952750" cy="3867150"/>
        </a:xfrm>
        <a:prstGeom prst="bentConnector3">
          <a:avLst>
            <a:gd name="adj1" fmla="val -208"/>
            <a:gd name="adj2" fmla="val -143143"/>
            <a:gd name="adj3" fmla="val -8774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21</xdr:col>
      <xdr:colOff>123825</xdr:colOff>
      <xdr:row>28</xdr:row>
      <xdr:rowOff>152400</xdr:rowOff>
    </xdr:to>
    <xdr:sp>
      <xdr:nvSpPr>
        <xdr:cNvPr id="12" name="AutoShape 25"/>
        <xdr:cNvSpPr>
          <a:spLocks/>
        </xdr:cNvSpPr>
      </xdr:nvSpPr>
      <xdr:spPr>
        <a:xfrm rot="16200000">
          <a:off x="4914900" y="742950"/>
          <a:ext cx="3200400" cy="4248150"/>
        </a:xfrm>
        <a:prstGeom prst="bentConnector3">
          <a:avLst>
            <a:gd name="adj1" fmla="val -4"/>
            <a:gd name="adj2" fmla="val -144495"/>
            <a:gd name="adj3" fmla="val -80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O24"/>
  <sheetViews>
    <sheetView showGridLines="0" tabSelected="1" workbookViewId="0" topLeftCell="A1">
      <selection activeCell="E7" sqref="E7:G7"/>
    </sheetView>
  </sheetViews>
  <sheetFormatPr defaultColWidth="9.140625" defaultRowHeight="12.75"/>
  <cols>
    <col min="3" max="3" width="13.140625" style="0" customWidth="1"/>
    <col min="4" max="4" width="3.00390625" style="0" customWidth="1"/>
    <col min="5" max="5" width="27.421875" style="0" customWidth="1"/>
    <col min="7" max="7" width="11.00390625" style="0" customWidth="1"/>
    <col min="8" max="8" width="2.7109375" style="0" customWidth="1"/>
    <col min="9" max="9" width="27.28125" style="0" customWidth="1"/>
  </cols>
  <sheetData>
    <row r="3" spans="2:9" ht="18">
      <c r="B3" s="214" t="s">
        <v>41</v>
      </c>
      <c r="C3" s="214"/>
      <c r="D3" s="214"/>
      <c r="E3" s="214"/>
      <c r="F3" s="214"/>
      <c r="G3" s="214"/>
      <c r="H3" s="214"/>
      <c r="I3" s="214"/>
    </row>
    <row r="7" spans="2:14" ht="15.75" customHeight="1">
      <c r="B7" s="215" t="s">
        <v>40</v>
      </c>
      <c r="C7" s="215"/>
      <c r="D7" s="6"/>
      <c r="E7" s="211"/>
      <c r="F7" s="212"/>
      <c r="G7" s="213"/>
      <c r="H7" s="29"/>
      <c r="I7" s="1"/>
      <c r="J7" s="1"/>
      <c r="K7" s="1"/>
      <c r="L7" s="1"/>
      <c r="M7" s="27"/>
      <c r="N7" s="30"/>
    </row>
    <row r="8" spans="3:14" ht="7.5" customHeight="1">
      <c r="C8" s="6"/>
      <c r="D8" s="6"/>
      <c r="E8" s="49"/>
      <c r="F8" s="1"/>
      <c r="G8" s="1"/>
      <c r="H8" s="29"/>
      <c r="I8" s="1"/>
      <c r="J8" s="1"/>
      <c r="K8" s="1"/>
      <c r="L8" s="1"/>
      <c r="M8" s="27"/>
      <c r="N8" s="30"/>
    </row>
    <row r="9" spans="2:15" ht="15.75" customHeight="1">
      <c r="B9" s="216" t="s">
        <v>28</v>
      </c>
      <c r="C9" s="55" t="s">
        <v>19</v>
      </c>
      <c r="D9" s="6"/>
      <c r="E9" s="51"/>
      <c r="F9" s="1"/>
      <c r="G9" s="216" t="s">
        <v>29</v>
      </c>
      <c r="H9" s="52"/>
      <c r="I9" s="51"/>
      <c r="J9" s="52"/>
      <c r="K9" s="52"/>
      <c r="L9" s="52"/>
      <c r="M9" s="52"/>
      <c r="N9" s="52"/>
      <c r="O9" s="52"/>
    </row>
    <row r="10" spans="2:15" ht="7.5" customHeight="1">
      <c r="B10" s="216"/>
      <c r="C10" s="55"/>
      <c r="D10" s="6"/>
      <c r="E10" s="49"/>
      <c r="F10" s="1"/>
      <c r="G10" s="216"/>
      <c r="H10" s="48"/>
      <c r="I10" s="48"/>
      <c r="J10" s="48"/>
      <c r="K10" s="48"/>
      <c r="L10" s="48"/>
      <c r="M10" s="48"/>
      <c r="N10" s="48"/>
      <c r="O10" s="48"/>
    </row>
    <row r="11" spans="2:15" ht="15.75" customHeight="1">
      <c r="B11" s="216"/>
      <c r="C11" s="55" t="s">
        <v>18</v>
      </c>
      <c r="D11" s="6"/>
      <c r="E11" s="51"/>
      <c r="F11" s="1"/>
      <c r="G11" s="216"/>
      <c r="H11" s="52"/>
      <c r="I11" s="51"/>
      <c r="J11" s="52"/>
      <c r="K11" s="52"/>
      <c r="L11" s="52"/>
      <c r="M11" s="52"/>
      <c r="N11" s="52"/>
      <c r="O11" s="52"/>
    </row>
    <row r="12" spans="3:15" ht="12.75">
      <c r="C12" s="55"/>
      <c r="D12" s="6"/>
      <c r="E12" s="49"/>
      <c r="F12" s="1"/>
      <c r="G12" s="56"/>
      <c r="H12" s="48"/>
      <c r="I12" s="48"/>
      <c r="J12" s="48"/>
      <c r="K12" s="48"/>
      <c r="L12" s="48"/>
      <c r="M12" s="48"/>
      <c r="N12" s="48"/>
      <c r="O12" s="48"/>
    </row>
    <row r="13" spans="3:15" ht="12.75">
      <c r="C13" s="55"/>
      <c r="D13" s="6"/>
      <c r="E13" s="49"/>
      <c r="F13" s="1"/>
      <c r="G13" s="56"/>
      <c r="H13" s="48"/>
      <c r="I13" s="48"/>
      <c r="J13" s="48"/>
      <c r="K13" s="48"/>
      <c r="L13" s="48"/>
      <c r="M13" s="48"/>
      <c r="N13" s="48"/>
      <c r="O13" s="48"/>
    </row>
    <row r="14" spans="3:14" ht="15.75" customHeight="1">
      <c r="C14" s="55" t="s">
        <v>16</v>
      </c>
      <c r="D14" s="6"/>
      <c r="E14" s="51"/>
      <c r="F14" s="1"/>
      <c r="G14" s="56"/>
      <c r="H14" s="1"/>
      <c r="I14" s="1"/>
      <c r="J14" s="1"/>
      <c r="K14" s="1"/>
      <c r="L14" s="1"/>
      <c r="M14" s="27"/>
      <c r="N14" s="30"/>
    </row>
    <row r="15" spans="3:14" ht="7.5" customHeight="1">
      <c r="C15" s="55"/>
      <c r="D15" s="6"/>
      <c r="E15" s="49"/>
      <c r="F15" s="1"/>
      <c r="G15" s="56"/>
      <c r="H15" s="1"/>
      <c r="I15" s="1"/>
      <c r="J15" s="1"/>
      <c r="K15" s="1"/>
      <c r="L15" s="1"/>
      <c r="M15" s="27"/>
      <c r="N15" s="30"/>
    </row>
    <row r="16" spans="3:15" ht="15.75" customHeight="1">
      <c r="C16" s="55" t="s">
        <v>17</v>
      </c>
      <c r="D16" s="6"/>
      <c r="E16" s="57"/>
      <c r="F16" s="1"/>
      <c r="G16" s="56"/>
      <c r="H16" s="1"/>
      <c r="I16" s="44"/>
      <c r="J16" s="44"/>
      <c r="K16" s="44"/>
      <c r="L16" s="44"/>
      <c r="M16" s="45"/>
      <c r="N16" s="46"/>
      <c r="O16" s="44"/>
    </row>
    <row r="17" spans="3:15" ht="7.5" customHeight="1">
      <c r="C17" s="55"/>
      <c r="D17" s="6"/>
      <c r="E17" s="50"/>
      <c r="F17" s="1"/>
      <c r="G17" s="56"/>
      <c r="H17" s="1"/>
      <c r="I17" s="44"/>
      <c r="J17" s="44"/>
      <c r="K17" s="44"/>
      <c r="L17" s="44"/>
      <c r="M17" s="45"/>
      <c r="N17" s="46"/>
      <c r="O17" s="44"/>
    </row>
    <row r="18" spans="3:15" ht="15.75" customHeight="1">
      <c r="C18" s="55" t="s">
        <v>21</v>
      </c>
      <c r="D18" s="6"/>
      <c r="E18" s="57"/>
      <c r="F18" s="1"/>
      <c r="G18" s="56" t="s">
        <v>39</v>
      </c>
      <c r="I18" s="51"/>
      <c r="J18" s="54"/>
      <c r="K18" s="54"/>
      <c r="L18" s="54"/>
      <c r="M18" s="54"/>
      <c r="N18" s="54"/>
      <c r="O18" s="54"/>
    </row>
    <row r="19" spans="3:15" ht="7.5" customHeight="1">
      <c r="C19" s="55"/>
      <c r="D19" s="6"/>
      <c r="E19" s="50"/>
      <c r="F19" s="1"/>
      <c r="G19" s="56"/>
      <c r="J19" s="53"/>
      <c r="K19" s="53"/>
      <c r="L19" s="53"/>
      <c r="M19" s="53"/>
      <c r="N19" s="53"/>
      <c r="O19" s="53"/>
    </row>
    <row r="20" spans="3:15" ht="15.75">
      <c r="C20" s="55" t="s">
        <v>20</v>
      </c>
      <c r="D20" s="6"/>
      <c r="E20" s="63"/>
      <c r="F20" s="1"/>
      <c r="G20" s="56" t="s">
        <v>22</v>
      </c>
      <c r="I20" s="51"/>
      <c r="J20" s="54"/>
      <c r="K20" s="54"/>
      <c r="L20" s="54"/>
      <c r="M20" s="54"/>
      <c r="N20" s="54"/>
      <c r="O20" s="54"/>
    </row>
    <row r="21" spans="3:14" ht="12.75">
      <c r="C21" s="55"/>
      <c r="D21" s="6"/>
      <c r="E21" s="36"/>
      <c r="F21" s="1"/>
      <c r="G21" s="56"/>
      <c r="H21" s="1"/>
      <c r="I21" s="1"/>
      <c r="J21" s="1"/>
      <c r="K21" s="1"/>
      <c r="L21" s="1"/>
      <c r="M21" s="27"/>
      <c r="N21" s="30"/>
    </row>
    <row r="22" spans="3:14" ht="15.75" customHeight="1">
      <c r="C22" s="55" t="s">
        <v>15</v>
      </c>
      <c r="D22" s="6"/>
      <c r="E22" s="62"/>
      <c r="F22" s="1"/>
      <c r="G22" s="56"/>
      <c r="H22" s="1"/>
      <c r="I22" s="1"/>
      <c r="J22" s="1"/>
      <c r="K22" s="1"/>
      <c r="L22" s="1"/>
      <c r="M22" s="27"/>
      <c r="N22" s="30"/>
    </row>
    <row r="23" spans="3:14" ht="12.75">
      <c r="C23" s="56"/>
      <c r="E23" s="35"/>
      <c r="F23" s="1"/>
      <c r="G23" s="1"/>
      <c r="H23" s="1"/>
      <c r="I23" s="1"/>
      <c r="J23" s="1"/>
      <c r="K23" s="1"/>
      <c r="L23" s="1"/>
      <c r="M23" s="27"/>
      <c r="N23" s="30"/>
    </row>
    <row r="24" spans="3:15" ht="24" customHeight="1">
      <c r="C24" s="55" t="s">
        <v>25</v>
      </c>
      <c r="D24" s="37"/>
      <c r="E24" s="208"/>
      <c r="F24" s="209"/>
      <c r="G24" s="209"/>
      <c r="H24" s="209"/>
      <c r="I24" s="210"/>
      <c r="J24" s="35"/>
      <c r="K24" s="35"/>
      <c r="L24" s="35"/>
      <c r="M24" s="35"/>
      <c r="N24" s="35"/>
      <c r="O24" s="35"/>
    </row>
  </sheetData>
  <sheetProtection sheet="1" objects="1" scenarios="1"/>
  <mergeCells count="6">
    <mergeCell ref="E24:I24"/>
    <mergeCell ref="E7:G7"/>
    <mergeCell ref="B3:I3"/>
    <mergeCell ref="B7:C7"/>
    <mergeCell ref="B9:B11"/>
    <mergeCell ref="G9:G11"/>
  </mergeCells>
  <printOptions/>
  <pageMargins left="0.75" right="0.75" top="1" bottom="1" header="0.4921259845" footer="0.4921259845"/>
  <pageSetup horizontalDpi="600" verticalDpi="6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P151"/>
  <sheetViews>
    <sheetView showGridLines="0" workbookViewId="0" topLeftCell="A1">
      <selection activeCell="C23" sqref="C23"/>
    </sheetView>
  </sheetViews>
  <sheetFormatPr defaultColWidth="9.140625" defaultRowHeight="12.75"/>
  <cols>
    <col min="1" max="1" width="6.57421875" style="0" customWidth="1"/>
    <col min="2" max="2" width="3.421875" style="0" customWidth="1"/>
    <col min="3" max="3" width="12.8515625" style="0" customWidth="1"/>
    <col min="4" max="4" width="3.57421875" style="0" hidden="1" customWidth="1"/>
    <col min="5" max="5" width="29.8515625" style="0" hidden="1" customWidth="1"/>
    <col min="6" max="6" width="29.7109375" style="0" customWidth="1"/>
    <col min="7" max="12" width="5.7109375" style="1" customWidth="1"/>
    <col min="13" max="13" width="4.7109375" style="1" hidden="1" customWidth="1"/>
    <col min="14" max="14" width="8.57421875" style="27" customWidth="1"/>
    <col min="15" max="15" width="3.28125" style="30" hidden="1" customWidth="1"/>
    <col min="16" max="16" width="12.421875" style="0" customWidth="1"/>
    <col min="18" max="18" width="11.8515625" style="0" customWidth="1"/>
  </cols>
  <sheetData>
    <row r="3" spans="2:16" ht="15.75">
      <c r="B3" s="220" t="s">
        <v>50</v>
      </c>
      <c r="C3" s="221"/>
      <c r="D3" s="221"/>
      <c r="E3" s="221"/>
      <c r="F3" s="221"/>
      <c r="G3" s="65">
        <v>1</v>
      </c>
      <c r="H3" s="65">
        <v>1</v>
      </c>
      <c r="I3" s="65">
        <v>0</v>
      </c>
      <c r="J3" s="65">
        <v>0</v>
      </c>
      <c r="K3" s="65">
        <v>0</v>
      </c>
      <c r="L3" s="65">
        <v>1</v>
      </c>
      <c r="M3" s="65"/>
      <c r="N3" s="66"/>
      <c r="O3" s="67"/>
      <c r="P3" s="68">
        <v>5200</v>
      </c>
    </row>
    <row r="4" spans="3:16" ht="6" customHeight="1">
      <c r="C4" s="218" t="s">
        <v>45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3:16" ht="13.5" thickBot="1"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</row>
    <row r="6" spans="2:16" ht="16.5" thickBot="1">
      <c r="B6" s="222" t="s">
        <v>49</v>
      </c>
      <c r="C6" s="223"/>
      <c r="D6" s="223"/>
      <c r="E6" s="223"/>
      <c r="F6" s="223"/>
      <c r="G6" s="165">
        <f>O8-1</f>
        <v>0</v>
      </c>
      <c r="H6" s="165">
        <v>1</v>
      </c>
      <c r="I6" s="165">
        <f>O13-1</f>
        <v>0</v>
      </c>
      <c r="J6" s="165">
        <v>0</v>
      </c>
      <c r="K6" s="165">
        <v>0</v>
      </c>
      <c r="L6" s="165">
        <f>O18</f>
        <v>1</v>
      </c>
      <c r="M6" s="166"/>
      <c r="N6" s="167"/>
      <c r="O6" s="168"/>
      <c r="P6" s="169">
        <f>5200+N8+N13+N18</f>
        <v>5200</v>
      </c>
    </row>
    <row r="7" spans="7:16" s="6" customFormat="1" ht="3" customHeight="1">
      <c r="G7" s="15"/>
      <c r="H7" s="15"/>
      <c r="I7" s="15"/>
      <c r="J7" s="15"/>
      <c r="K7" s="15"/>
      <c r="L7" s="15"/>
      <c r="M7" s="16"/>
      <c r="N7" s="28"/>
      <c r="O7" s="32"/>
      <c r="P7" s="17"/>
    </row>
    <row r="8" spans="2:16" s="6" customFormat="1" ht="12" customHeight="1">
      <c r="B8" s="230" t="s">
        <v>46</v>
      </c>
      <c r="C8" s="226" t="s">
        <v>0</v>
      </c>
      <c r="D8" s="23">
        <v>0</v>
      </c>
      <c r="E8" s="5" t="s">
        <v>14</v>
      </c>
      <c r="G8" s="16"/>
      <c r="H8" s="16"/>
      <c r="I8" s="16"/>
      <c r="J8" s="16"/>
      <c r="K8" s="16"/>
      <c r="L8" s="16"/>
      <c r="M8" s="16"/>
      <c r="N8" s="224"/>
      <c r="O8" s="34">
        <v>1</v>
      </c>
      <c r="P8" s="17"/>
    </row>
    <row r="9" spans="2:16" ht="12" customHeight="1">
      <c r="B9" s="230"/>
      <c r="C9" s="225"/>
      <c r="D9" s="24">
        <v>1</v>
      </c>
      <c r="E9" s="5" t="s">
        <v>267</v>
      </c>
      <c r="F9" s="6"/>
      <c r="G9" s="16"/>
      <c r="H9" s="16"/>
      <c r="I9" s="16"/>
      <c r="J9" s="16"/>
      <c r="K9" s="16"/>
      <c r="L9" s="16"/>
      <c r="M9" s="16"/>
      <c r="N9" s="224"/>
      <c r="O9" s="34"/>
      <c r="P9" s="18"/>
    </row>
    <row r="10" spans="2:16" ht="12" customHeight="1" hidden="1">
      <c r="B10" s="230"/>
      <c r="C10" s="225"/>
      <c r="D10" s="24">
        <v>2</v>
      </c>
      <c r="E10" s="2" t="s">
        <v>265</v>
      </c>
      <c r="F10" s="2"/>
      <c r="G10" s="20"/>
      <c r="H10" s="20"/>
      <c r="I10" s="20"/>
      <c r="J10" s="20"/>
      <c r="K10" s="20"/>
      <c r="L10" s="20"/>
      <c r="M10" s="16"/>
      <c r="N10" s="224"/>
      <c r="O10" s="34"/>
      <c r="P10" s="18"/>
    </row>
    <row r="11" spans="2:16" ht="12" customHeight="1" hidden="1">
      <c r="B11" s="230"/>
      <c r="C11" s="225"/>
      <c r="D11" s="24">
        <v>3</v>
      </c>
      <c r="E11" s="2" t="s">
        <v>266</v>
      </c>
      <c r="F11" s="2"/>
      <c r="G11" s="20"/>
      <c r="H11" s="20"/>
      <c r="I11" s="20"/>
      <c r="J11" s="20"/>
      <c r="K11" s="20"/>
      <c r="L11" s="20"/>
      <c r="M11" s="16"/>
      <c r="N11" s="224"/>
      <c r="O11" s="34"/>
      <c r="P11" s="18"/>
    </row>
    <row r="12" spans="2:16" ht="3.75" customHeight="1">
      <c r="B12" s="231"/>
      <c r="C12" s="69"/>
      <c r="D12" s="69"/>
      <c r="E12" s="2"/>
      <c r="F12" s="5"/>
      <c r="G12" s="16"/>
      <c r="H12" s="16"/>
      <c r="I12" s="16"/>
      <c r="J12" s="16"/>
      <c r="K12" s="16"/>
      <c r="L12" s="16"/>
      <c r="M12" s="16"/>
      <c r="N12" s="14"/>
      <c r="O12" s="31"/>
      <c r="P12" s="18"/>
    </row>
    <row r="13" spans="2:16" ht="14.25" customHeight="1">
      <c r="B13" s="232" t="s">
        <v>47</v>
      </c>
      <c r="C13" s="225" t="s">
        <v>13</v>
      </c>
      <c r="D13" s="24">
        <v>0</v>
      </c>
      <c r="E13" s="8" t="s">
        <v>4</v>
      </c>
      <c r="F13" s="12"/>
      <c r="G13" s="16"/>
      <c r="H13" s="16"/>
      <c r="I13" s="16"/>
      <c r="J13" s="16"/>
      <c r="K13" s="16"/>
      <c r="L13" s="16"/>
      <c r="M13" s="16">
        <v>0</v>
      </c>
      <c r="N13" s="224">
        <f>SUMIF(I6,"&gt;0",M14)</f>
        <v>0</v>
      </c>
      <c r="O13" s="34">
        <v>1</v>
      </c>
      <c r="P13" s="18"/>
    </row>
    <row r="14" spans="2:16" ht="12" customHeight="1">
      <c r="B14" s="233"/>
      <c r="C14" s="225"/>
      <c r="D14" s="24">
        <v>1</v>
      </c>
      <c r="E14" s="8" t="s">
        <v>10</v>
      </c>
      <c r="F14" s="12"/>
      <c r="G14" s="16"/>
      <c r="H14" s="16"/>
      <c r="I14" s="16"/>
      <c r="J14" s="16"/>
      <c r="K14" s="16"/>
      <c r="L14" s="16"/>
      <c r="M14" s="16">
        <v>700</v>
      </c>
      <c r="N14" s="224"/>
      <c r="O14" s="34"/>
      <c r="P14" s="18"/>
    </row>
    <row r="15" spans="2:16" ht="12" customHeight="1" hidden="1">
      <c r="B15" s="233"/>
      <c r="C15" s="225"/>
      <c r="D15" s="24">
        <v>2</v>
      </c>
      <c r="E15" s="8" t="s">
        <v>11</v>
      </c>
      <c r="F15" s="10"/>
      <c r="G15" s="19"/>
      <c r="H15" s="19"/>
      <c r="I15" s="19"/>
      <c r="J15" s="19"/>
      <c r="K15" s="19"/>
      <c r="L15" s="19"/>
      <c r="M15" s="16">
        <v>700</v>
      </c>
      <c r="N15" s="14"/>
      <c r="O15" s="31"/>
      <c r="P15" s="18"/>
    </row>
    <row r="16" spans="2:16" ht="12" customHeight="1" hidden="1">
      <c r="B16" s="233"/>
      <c r="C16" s="225"/>
      <c r="D16" s="24">
        <v>3</v>
      </c>
      <c r="E16" s="8" t="s">
        <v>5</v>
      </c>
      <c r="F16" s="11"/>
      <c r="G16" s="21"/>
      <c r="H16" s="21"/>
      <c r="I16" s="21"/>
      <c r="J16" s="21"/>
      <c r="K16" s="21"/>
      <c r="L16" s="21"/>
      <c r="M16" s="16">
        <v>700</v>
      </c>
      <c r="N16" s="14"/>
      <c r="O16" s="31"/>
      <c r="P16" s="18"/>
    </row>
    <row r="17" spans="2:16" ht="3" customHeight="1">
      <c r="B17" s="233"/>
      <c r="C17" s="25"/>
      <c r="D17" s="25"/>
      <c r="E17" s="2"/>
      <c r="F17" s="6"/>
      <c r="G17" s="16"/>
      <c r="H17" s="16"/>
      <c r="I17" s="16"/>
      <c r="J17" s="16"/>
      <c r="K17" s="16"/>
      <c r="L17" s="16"/>
      <c r="M17" s="16"/>
      <c r="N17" s="14"/>
      <c r="O17" s="31"/>
      <c r="P17" s="18"/>
    </row>
    <row r="18" spans="2:16" ht="12" customHeight="1">
      <c r="B18" s="233"/>
      <c r="C18" s="225" t="s">
        <v>1</v>
      </c>
      <c r="D18" s="24">
        <v>1</v>
      </c>
      <c r="E18" s="2" t="s">
        <v>2</v>
      </c>
      <c r="F18" s="6"/>
      <c r="G18" s="16"/>
      <c r="H18" s="16"/>
      <c r="I18" s="16"/>
      <c r="J18" s="16"/>
      <c r="K18" s="16"/>
      <c r="L18" s="16"/>
      <c r="M18" s="16">
        <v>0</v>
      </c>
      <c r="N18" s="224">
        <f>IF(L6=2,1700,0)</f>
        <v>0</v>
      </c>
      <c r="O18" s="34">
        <v>1</v>
      </c>
      <c r="P18" s="18"/>
    </row>
    <row r="19" spans="2:16" ht="12" customHeight="1">
      <c r="B19" s="231"/>
      <c r="C19" s="225"/>
      <c r="D19" s="24">
        <v>2</v>
      </c>
      <c r="E19" s="7" t="s">
        <v>9</v>
      </c>
      <c r="F19" s="6"/>
      <c r="G19" s="16"/>
      <c r="H19" s="16"/>
      <c r="I19" s="16"/>
      <c r="J19" s="16"/>
      <c r="K19" s="16"/>
      <c r="L19" s="16"/>
      <c r="M19" s="16">
        <v>1700</v>
      </c>
      <c r="N19" s="224"/>
      <c r="O19" s="33"/>
      <c r="P19" s="18"/>
    </row>
    <row r="20" spans="2:16" ht="3" customHeight="1" thickBot="1"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M20" s="9"/>
      <c r="N20" s="64"/>
      <c r="P20" s="3"/>
    </row>
    <row r="21" ht="9" customHeight="1"/>
    <row r="22" ht="13.5" thickBot="1">
      <c r="F22" s="35"/>
    </row>
    <row r="23" spans="3:16" ht="14.25" customHeight="1" thickBot="1">
      <c r="C23" s="47"/>
      <c r="F23" s="236" t="s">
        <v>44</v>
      </c>
      <c r="G23" s="236"/>
      <c r="H23" s="236"/>
      <c r="I23" s="236"/>
      <c r="J23" s="236"/>
      <c r="K23" s="236"/>
      <c r="L23" s="236"/>
      <c r="M23" s="236"/>
      <c r="N23" s="236"/>
      <c r="O23" s="236"/>
      <c r="P23" s="236"/>
    </row>
    <row r="24" ht="4.5" customHeight="1">
      <c r="F24" s="35"/>
    </row>
    <row r="25" spans="3:16" ht="12.75">
      <c r="C25" s="12"/>
      <c r="D25" s="59"/>
      <c r="E25" s="59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</row>
    <row r="26" ht="6.75" customHeight="1"/>
    <row r="30" ht="12.75">
      <c r="I30" s="1" t="s">
        <v>48</v>
      </c>
    </row>
    <row r="89" spans="3:13" ht="12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3:13" ht="12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3:13" ht="15.75">
      <c r="C91" s="217" t="s">
        <v>26</v>
      </c>
      <c r="D91" s="217"/>
      <c r="E91" s="217"/>
      <c r="F91" s="217"/>
      <c r="G91" s="217"/>
      <c r="H91" s="217"/>
      <c r="I91" s="217"/>
      <c r="J91" s="217"/>
      <c r="K91" s="217"/>
      <c r="L91" s="217"/>
      <c r="M91" s="217"/>
    </row>
    <row r="92" spans="3:13" ht="12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3:13" ht="12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3:13" ht="12.75"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3:13" ht="15.75">
      <c r="C95" s="18" t="s">
        <v>27</v>
      </c>
      <c r="D95" s="205">
        <f>firma!E7</f>
        <v>0</v>
      </c>
      <c r="E95" s="205"/>
      <c r="F95" s="205"/>
      <c r="G95" s="205"/>
      <c r="H95" s="205"/>
      <c r="I95" s="18"/>
      <c r="J95" s="18"/>
      <c r="K95" s="18"/>
      <c r="L95" s="18"/>
      <c r="M95" s="18"/>
    </row>
    <row r="96" spans="3:13" ht="12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3:13" ht="12.75">
      <c r="C97" s="18" t="s">
        <v>16</v>
      </c>
      <c r="D97" s="234">
        <f>firma!E14</f>
        <v>0</v>
      </c>
      <c r="E97" s="234"/>
      <c r="F97" s="234"/>
      <c r="G97" s="234"/>
      <c r="H97" s="234"/>
      <c r="I97" s="18"/>
      <c r="J97" s="18"/>
      <c r="K97" s="18"/>
      <c r="L97" s="18"/>
      <c r="M97" s="18"/>
    </row>
    <row r="98" spans="3:13" ht="12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3:13" ht="12.75">
      <c r="C99" s="18" t="s">
        <v>28</v>
      </c>
      <c r="D99" s="18"/>
      <c r="E99" s="18"/>
      <c r="F99" s="18"/>
      <c r="G99" s="18" t="s">
        <v>29</v>
      </c>
      <c r="J99" s="18"/>
      <c r="K99" s="18"/>
      <c r="L99" s="18"/>
      <c r="M99" s="18"/>
    </row>
    <row r="100" spans="3:13" ht="6" customHeight="1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3:13" ht="12.75">
      <c r="C101" s="18"/>
      <c r="D101" s="40">
        <f>firma!E9</f>
        <v>0</v>
      </c>
      <c r="E101" s="40"/>
      <c r="F101" s="40">
        <f>firma!E9</f>
        <v>0</v>
      </c>
      <c r="G101" s="40"/>
      <c r="H101" s="234">
        <f>firma!I9</f>
        <v>0</v>
      </c>
      <c r="I101" s="234"/>
      <c r="J101" s="234"/>
      <c r="K101" s="234"/>
      <c r="L101" s="234"/>
      <c r="M101" s="40"/>
    </row>
    <row r="102" spans="3:13" ht="12.75">
      <c r="C102" s="18"/>
      <c r="D102" s="40">
        <f>firma!E11</f>
        <v>0</v>
      </c>
      <c r="E102" s="40"/>
      <c r="F102" s="40">
        <f>firma!E11</f>
        <v>0</v>
      </c>
      <c r="G102" s="40"/>
      <c r="H102" s="235">
        <f>firma!I11</f>
        <v>0</v>
      </c>
      <c r="I102" s="235"/>
      <c r="J102" s="235"/>
      <c r="K102" s="235"/>
      <c r="L102" s="235"/>
      <c r="M102" s="40"/>
    </row>
    <row r="103" spans="3:13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3:13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3:13" ht="12.75">
      <c r="C105" s="18" t="s">
        <v>17</v>
      </c>
      <c r="D105" s="40">
        <f>firma!E16</f>
        <v>0</v>
      </c>
      <c r="E105" s="40"/>
      <c r="F105" s="58">
        <f>firma!E16</f>
        <v>0</v>
      </c>
      <c r="G105" s="18" t="s">
        <v>24</v>
      </c>
      <c r="H105" s="234">
        <f>firma!I18</f>
        <v>0</v>
      </c>
      <c r="I105" s="234"/>
      <c r="J105" s="234"/>
      <c r="K105" s="40"/>
      <c r="L105" s="40"/>
      <c r="M105" s="40"/>
    </row>
    <row r="106" spans="3:13" ht="12.75">
      <c r="C106" s="18" t="s">
        <v>21</v>
      </c>
      <c r="D106" s="40">
        <f>firma!E18</f>
        <v>0</v>
      </c>
      <c r="E106" s="40"/>
      <c r="F106" s="58">
        <f>firma!E18</f>
        <v>0</v>
      </c>
      <c r="G106" s="18" t="s">
        <v>23</v>
      </c>
      <c r="H106" s="234">
        <f>firma!I20</f>
        <v>0</v>
      </c>
      <c r="I106" s="234"/>
      <c r="J106" s="234"/>
      <c r="K106" s="40"/>
      <c r="L106" s="40"/>
      <c r="M106" s="40"/>
    </row>
    <row r="107" spans="3:13" ht="12.75">
      <c r="C107" s="18" t="s">
        <v>20</v>
      </c>
      <c r="D107" s="40">
        <f>firma!E20</f>
        <v>0</v>
      </c>
      <c r="E107" s="40"/>
      <c r="F107" s="40">
        <f>firma!E20</f>
        <v>0</v>
      </c>
      <c r="G107" s="40"/>
      <c r="H107" s="18"/>
      <c r="I107" s="18"/>
      <c r="J107" s="18"/>
      <c r="K107" s="18"/>
      <c r="L107" s="18"/>
      <c r="M107" s="18"/>
    </row>
    <row r="108" spans="3:13" ht="12.75"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3:13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3:13" ht="12.75">
      <c r="C110" s="18" t="s">
        <v>30</v>
      </c>
      <c r="D110" s="40">
        <f>firma!E24</f>
        <v>0</v>
      </c>
      <c r="E110" s="40"/>
      <c r="F110" s="228">
        <f>firma!E24</f>
        <v>0</v>
      </c>
      <c r="G110" s="228"/>
      <c r="H110" s="228"/>
      <c r="I110" s="228"/>
      <c r="J110" s="228"/>
      <c r="K110" s="228"/>
      <c r="L110" s="40"/>
      <c r="M110" s="40"/>
    </row>
    <row r="111" spans="3:13" ht="12.75">
      <c r="C111" s="18"/>
      <c r="D111" s="40"/>
      <c r="E111" s="40"/>
      <c r="F111" s="228"/>
      <c r="G111" s="228"/>
      <c r="H111" s="228"/>
      <c r="I111" s="228"/>
      <c r="J111" s="228"/>
      <c r="K111" s="228"/>
      <c r="L111" s="40"/>
      <c r="M111" s="40"/>
    </row>
    <row r="112" spans="3:13" ht="12.75">
      <c r="C112" s="39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3:13" ht="12.75">
      <c r="C113" s="18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3:13" ht="12.75">
      <c r="C114" s="18"/>
      <c r="D114" s="40"/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3:13" ht="12.75">
      <c r="C115" s="18"/>
      <c r="D115" s="40"/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3:13" ht="15">
      <c r="C116" s="229" t="s">
        <v>254</v>
      </c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</row>
    <row r="118" spans="6:12" ht="12.75">
      <c r="F118" s="155" t="s">
        <v>253</v>
      </c>
      <c r="G118" s="156">
        <f aca="true" t="shared" si="0" ref="G118:L118">G6</f>
        <v>0</v>
      </c>
      <c r="H118" s="156">
        <f t="shared" si="0"/>
        <v>1</v>
      </c>
      <c r="I118" s="156">
        <f t="shared" si="0"/>
        <v>0</v>
      </c>
      <c r="J118" s="156">
        <f t="shared" si="0"/>
        <v>0</v>
      </c>
      <c r="K118" s="156">
        <f t="shared" si="0"/>
        <v>0</v>
      </c>
      <c r="L118" s="156">
        <f t="shared" si="0"/>
        <v>1</v>
      </c>
    </row>
    <row r="119" spans="3:13" ht="12.7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3:13" ht="12.75">
      <c r="C120" s="18" t="s">
        <v>31</v>
      </c>
      <c r="D120" s="227" t="str">
        <f>VLOOKUP('R101'!O8,'R101'!D8:E11,2)</f>
        <v>napěťový - termočlánek (S, K, J, C)</v>
      </c>
      <c r="E120" s="227"/>
      <c r="F120" s="227"/>
      <c r="G120" s="227"/>
      <c r="H120" s="227"/>
      <c r="I120" s="227"/>
      <c r="J120" s="18"/>
      <c r="K120" s="18"/>
      <c r="L120" s="18"/>
      <c r="M120" s="18"/>
    </row>
    <row r="121" spans="3:13" ht="12.75">
      <c r="C121" s="18" t="s">
        <v>43</v>
      </c>
      <c r="D121" s="227" t="str">
        <f>VLOOKUP('R101'!O13,'R101'!D13:E16,2)</f>
        <v>proudový 0–20 (4–20) mA pasivní</v>
      </c>
      <c r="E121" s="227"/>
      <c r="F121" s="227"/>
      <c r="G121" s="227"/>
      <c r="H121" s="227"/>
      <c r="I121" s="227"/>
      <c r="J121" s="18"/>
      <c r="K121" s="18"/>
      <c r="L121" s="18"/>
      <c r="M121" s="18"/>
    </row>
    <row r="122" spans="3:13" ht="12.75" hidden="1">
      <c r="C122" s="18" t="s">
        <v>33</v>
      </c>
      <c r="D122" s="227" t="e">
        <f>VLOOKUP('R101'!#REF!,'R101'!#REF!,2)</f>
        <v>#REF!</v>
      </c>
      <c r="E122" s="227"/>
      <c r="F122" s="227"/>
      <c r="G122" s="227"/>
      <c r="H122" s="227"/>
      <c r="I122" s="227"/>
      <c r="J122" s="18"/>
      <c r="K122" s="18"/>
      <c r="L122" s="18"/>
      <c r="M122" s="18"/>
    </row>
    <row r="123" spans="3:13" ht="12.75">
      <c r="C123" s="18" t="s">
        <v>34</v>
      </c>
      <c r="D123" s="227" t="str">
        <f>VLOOKUP('R101'!O18,'R101'!D18:E19,2)</f>
        <v>vestavné</v>
      </c>
      <c r="E123" s="227"/>
      <c r="F123" s="227"/>
      <c r="G123" s="227"/>
      <c r="H123" s="227"/>
      <c r="I123" s="227"/>
      <c r="J123" s="18"/>
      <c r="K123" s="18"/>
      <c r="L123" s="18"/>
      <c r="M123" s="18"/>
    </row>
    <row r="124" spans="3:13" ht="12.75">
      <c r="C124" s="18"/>
      <c r="D124" s="19"/>
      <c r="E124" s="19"/>
      <c r="F124" s="19"/>
      <c r="G124" s="19"/>
      <c r="H124" s="19"/>
      <c r="I124" s="19"/>
      <c r="J124" s="18"/>
      <c r="K124" s="18"/>
      <c r="L124" s="18"/>
      <c r="M124" s="18"/>
    </row>
    <row r="125" spans="3:13" ht="12.75">
      <c r="C125" s="18"/>
      <c r="D125" s="18"/>
      <c r="E125" s="18"/>
      <c r="F125" s="18"/>
      <c r="G125" s="18"/>
      <c r="H125" s="196" t="s">
        <v>35</v>
      </c>
      <c r="I125" s="196"/>
      <c r="J125" s="196"/>
      <c r="K125" s="197">
        <f>'R101'!P6</f>
        <v>5200</v>
      </c>
      <c r="L125" s="197"/>
      <c r="M125" s="197"/>
    </row>
    <row r="126" spans="3:13" ht="12.7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3:13" ht="12.7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3:13" ht="12.7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3:13" ht="12.75">
      <c r="C129" s="42" t="s">
        <v>36</v>
      </c>
      <c r="D129" s="207">
        <f>firma!E22</f>
        <v>0</v>
      </c>
      <c r="E129" s="207"/>
      <c r="F129" s="207"/>
      <c r="G129" s="207"/>
      <c r="H129" s="207"/>
      <c r="I129" s="207"/>
      <c r="J129" s="18"/>
      <c r="K129" s="18"/>
      <c r="L129" s="18"/>
      <c r="M129" s="18"/>
    </row>
    <row r="130" spans="3:13" ht="12.7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3:13" ht="12.7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3:13" ht="12.75">
      <c r="C132" s="42" t="s">
        <v>37</v>
      </c>
      <c r="D132" s="43">
        <f ca="1">TODAY()</f>
        <v>40626</v>
      </c>
      <c r="E132" s="18"/>
      <c r="F132" s="61"/>
      <c r="G132" s="18"/>
      <c r="H132" s="18"/>
      <c r="I132" s="18"/>
      <c r="J132" s="18"/>
      <c r="K132" s="18"/>
      <c r="L132" s="18"/>
      <c r="M132" s="18"/>
    </row>
    <row r="133" spans="3:13" ht="12.75">
      <c r="C133" s="18"/>
      <c r="D133" s="18"/>
      <c r="E133" s="18"/>
      <c r="F133" s="18"/>
      <c r="G133" s="18"/>
      <c r="H133" s="18"/>
      <c r="I133" s="206" t="s">
        <v>38</v>
      </c>
      <c r="J133" s="206"/>
      <c r="K133" s="206"/>
      <c r="L133" s="206"/>
      <c r="M133" s="60"/>
    </row>
    <row r="134" spans="3:13" ht="12.7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3:13" ht="12.7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7:13" ht="12.75">
      <c r="G136"/>
      <c r="H136"/>
      <c r="I136"/>
      <c r="J136"/>
      <c r="K136"/>
      <c r="L136"/>
      <c r="M136"/>
    </row>
    <row r="137" spans="7:13" ht="12.75">
      <c r="G137"/>
      <c r="H137"/>
      <c r="I137"/>
      <c r="J137"/>
      <c r="K137"/>
      <c r="L137"/>
      <c r="M137"/>
    </row>
    <row r="138" spans="7:13" ht="12.75">
      <c r="G138"/>
      <c r="H138"/>
      <c r="I138"/>
      <c r="J138"/>
      <c r="K138"/>
      <c r="L138"/>
      <c r="M138"/>
    </row>
    <row r="139" spans="7:13" ht="12.75">
      <c r="G139"/>
      <c r="H139"/>
      <c r="I139"/>
      <c r="J139"/>
      <c r="K139"/>
      <c r="L139"/>
      <c r="M139"/>
    </row>
    <row r="140" spans="7:13" ht="12.75">
      <c r="G140"/>
      <c r="H140"/>
      <c r="I140"/>
      <c r="J140"/>
      <c r="K140"/>
      <c r="L140"/>
      <c r="M140"/>
    </row>
    <row r="141" spans="7:13" ht="12.75">
      <c r="G141"/>
      <c r="H141"/>
      <c r="I141"/>
      <c r="J141"/>
      <c r="K141"/>
      <c r="L141"/>
      <c r="M141"/>
    </row>
    <row r="142" spans="7:13" ht="12.75">
      <c r="G142"/>
      <c r="H142"/>
      <c r="I142"/>
      <c r="J142"/>
      <c r="K142"/>
      <c r="L142"/>
      <c r="M142"/>
    </row>
    <row r="143" spans="7:13" ht="12.75">
      <c r="G143"/>
      <c r="H143"/>
      <c r="I143"/>
      <c r="J143"/>
      <c r="K143"/>
      <c r="L143"/>
      <c r="M143"/>
    </row>
    <row r="144" spans="7:13" ht="12.75">
      <c r="G144"/>
      <c r="H144"/>
      <c r="I144"/>
      <c r="J144"/>
      <c r="K144"/>
      <c r="L144"/>
      <c r="M144"/>
    </row>
    <row r="145" spans="7:13" ht="12.75">
      <c r="G145"/>
      <c r="H145"/>
      <c r="I145"/>
      <c r="J145"/>
      <c r="K145"/>
      <c r="L145"/>
      <c r="M145"/>
    </row>
    <row r="146" spans="7:13" ht="12.75">
      <c r="G146"/>
      <c r="H146"/>
      <c r="I146"/>
      <c r="J146"/>
      <c r="K146"/>
      <c r="L146"/>
      <c r="M146"/>
    </row>
    <row r="147" spans="7:13" ht="12.75">
      <c r="G147"/>
      <c r="H147"/>
      <c r="I147"/>
      <c r="J147"/>
      <c r="K147"/>
      <c r="L147"/>
      <c r="M147"/>
    </row>
    <row r="148" spans="7:13" ht="12.75">
      <c r="G148"/>
      <c r="H148"/>
      <c r="I148"/>
      <c r="J148"/>
      <c r="K148"/>
      <c r="L148"/>
      <c r="M148"/>
    </row>
    <row r="149" spans="7:13" ht="12.75">
      <c r="G149"/>
      <c r="H149"/>
      <c r="I149"/>
      <c r="J149"/>
      <c r="K149"/>
      <c r="L149"/>
      <c r="M149"/>
    </row>
    <row r="150" spans="7:13" ht="12.75">
      <c r="G150"/>
      <c r="H150"/>
      <c r="I150"/>
      <c r="J150"/>
      <c r="K150"/>
      <c r="L150"/>
      <c r="M150"/>
    </row>
    <row r="151" spans="7:13" ht="12.75">
      <c r="G151"/>
      <c r="H151"/>
      <c r="I151"/>
      <c r="J151"/>
      <c r="K151"/>
      <c r="L151"/>
      <c r="M151"/>
    </row>
  </sheetData>
  <sheetProtection sheet="1" objects="1" scenarios="1"/>
  <mergeCells count="30">
    <mergeCell ref="F23:P23"/>
    <mergeCell ref="F25:P25"/>
    <mergeCell ref="D95:H95"/>
    <mergeCell ref="I133:L133"/>
    <mergeCell ref="D120:I120"/>
    <mergeCell ref="D121:I121"/>
    <mergeCell ref="D129:I129"/>
    <mergeCell ref="H125:J125"/>
    <mergeCell ref="K125:M125"/>
    <mergeCell ref="D122:I122"/>
    <mergeCell ref="D123:I123"/>
    <mergeCell ref="F110:K111"/>
    <mergeCell ref="C116:M116"/>
    <mergeCell ref="B8:B12"/>
    <mergeCell ref="B13:B19"/>
    <mergeCell ref="H105:J105"/>
    <mergeCell ref="H106:J106"/>
    <mergeCell ref="H101:L101"/>
    <mergeCell ref="H102:L102"/>
    <mergeCell ref="D97:H97"/>
    <mergeCell ref="C91:M91"/>
    <mergeCell ref="C4:P5"/>
    <mergeCell ref="B3:F3"/>
    <mergeCell ref="B6:F6"/>
    <mergeCell ref="N18:N19"/>
    <mergeCell ref="N8:N11"/>
    <mergeCell ref="N13:N14"/>
    <mergeCell ref="C13:C16"/>
    <mergeCell ref="C8:C11"/>
    <mergeCell ref="C18:C19"/>
  </mergeCells>
  <conditionalFormatting sqref="G6">
    <cfRule type="cellIs" priority="1" dxfId="0" operator="lessThan" stopIfTrue="1">
      <formula>1</formula>
    </cfRule>
  </conditionalFormatting>
  <printOptions/>
  <pageMargins left="0.64" right="0.2" top="0.56" bottom="0.16" header="0.24" footer="0.13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3:Q165"/>
  <sheetViews>
    <sheetView showGridLines="0" workbookViewId="0" topLeftCell="A1">
      <selection activeCell="C29" sqref="C29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3.28125" style="0" customWidth="1"/>
    <col min="4" max="4" width="3.57421875" style="0" hidden="1" customWidth="1"/>
    <col min="5" max="5" width="29.8515625" style="0" hidden="1" customWidth="1"/>
    <col min="6" max="6" width="29.7109375" style="0" customWidth="1"/>
    <col min="7" max="12" width="4.7109375" style="1" customWidth="1"/>
    <col min="13" max="13" width="8.421875" style="1" hidden="1" customWidth="1"/>
    <col min="14" max="14" width="8.7109375" style="27" customWidth="1"/>
    <col min="15" max="15" width="3.28125" style="30" hidden="1" customWidth="1"/>
    <col min="16" max="16" width="14.421875" style="0" customWidth="1"/>
    <col min="17" max="17" width="0" style="0" hidden="1" customWidth="1"/>
    <col min="18" max="18" width="11.8515625" style="0" customWidth="1"/>
  </cols>
  <sheetData>
    <row r="3" spans="2:16" ht="15.75">
      <c r="B3" s="220" t="s">
        <v>51</v>
      </c>
      <c r="C3" s="221"/>
      <c r="D3" s="221"/>
      <c r="E3" s="221"/>
      <c r="F3" s="221"/>
      <c r="G3" s="65">
        <v>1</v>
      </c>
      <c r="H3" s="65">
        <v>1</v>
      </c>
      <c r="I3" s="65">
        <v>0</v>
      </c>
      <c r="J3" s="65">
        <v>0</v>
      </c>
      <c r="K3" s="65">
        <v>1</v>
      </c>
      <c r="L3" s="65">
        <v>1</v>
      </c>
      <c r="M3" s="65"/>
      <c r="N3" s="66"/>
      <c r="O3" s="67"/>
      <c r="P3" s="68">
        <v>6900</v>
      </c>
    </row>
    <row r="4" spans="2:16" ht="3.75" customHeight="1">
      <c r="B4" s="218" t="s">
        <v>45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2:16" ht="14.25" customHeight="1" thickBot="1"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2:16" ht="16.5" thickBot="1">
      <c r="B6" s="222" t="s">
        <v>52</v>
      </c>
      <c r="C6" s="223"/>
      <c r="D6" s="223"/>
      <c r="E6" s="223"/>
      <c r="F6" s="223"/>
      <c r="G6" s="165">
        <f>O8-1</f>
        <v>0</v>
      </c>
      <c r="H6" s="165">
        <v>1</v>
      </c>
      <c r="I6" s="165">
        <f>O14-1</f>
        <v>0</v>
      </c>
      <c r="J6" s="165">
        <f>O19-1</f>
        <v>0</v>
      </c>
      <c r="K6" s="165">
        <v>1</v>
      </c>
      <c r="L6" s="165">
        <f>O24</f>
        <v>1</v>
      </c>
      <c r="M6" s="166"/>
      <c r="N6" s="167"/>
      <c r="O6" s="168"/>
      <c r="P6" s="169">
        <f>6900+N8+N14+N19+N24-(IF(Q14&gt;0,IF(O19&gt;1,250,0),0))</f>
        <v>6900</v>
      </c>
    </row>
    <row r="7" spans="2:16" s="6" customFormat="1" ht="3" customHeight="1">
      <c r="B7" s="201" t="s">
        <v>46</v>
      </c>
      <c r="C7" s="13"/>
      <c r="D7" s="13"/>
      <c r="E7" s="13"/>
      <c r="F7" s="13"/>
      <c r="G7" s="15"/>
      <c r="H7" s="15"/>
      <c r="I7" s="15"/>
      <c r="J7" s="15"/>
      <c r="K7" s="15"/>
      <c r="L7" s="15"/>
      <c r="M7" s="16"/>
      <c r="N7" s="28"/>
      <c r="O7" s="32"/>
      <c r="P7" s="17"/>
    </row>
    <row r="8" spans="2:16" s="6" customFormat="1" ht="12" customHeight="1">
      <c r="B8" s="202"/>
      <c r="C8" s="226" t="s">
        <v>0</v>
      </c>
      <c r="D8" s="23">
        <v>0</v>
      </c>
      <c r="E8" s="5" t="s">
        <v>14</v>
      </c>
      <c r="G8" s="16"/>
      <c r="H8" s="16"/>
      <c r="I8" s="16"/>
      <c r="J8" s="16"/>
      <c r="K8" s="16"/>
      <c r="L8" s="16"/>
      <c r="M8" s="16"/>
      <c r="N8" s="224">
        <v>0</v>
      </c>
      <c r="O8" s="34">
        <v>1</v>
      </c>
      <c r="P8" s="17"/>
    </row>
    <row r="9" spans="2:16" ht="12" customHeight="1">
      <c r="B9" s="202"/>
      <c r="C9" s="226"/>
      <c r="D9" s="23">
        <v>1</v>
      </c>
      <c r="E9" s="5" t="s">
        <v>268</v>
      </c>
      <c r="F9" s="6"/>
      <c r="G9" s="16"/>
      <c r="H9" s="16"/>
      <c r="I9" s="16"/>
      <c r="J9" s="16"/>
      <c r="K9" s="16"/>
      <c r="L9" s="16"/>
      <c r="M9" s="16"/>
      <c r="N9" s="224"/>
      <c r="O9" s="34"/>
      <c r="P9" s="18"/>
    </row>
    <row r="10" spans="2:16" ht="12" customHeight="1" hidden="1">
      <c r="B10" s="202"/>
      <c r="C10" s="226"/>
      <c r="D10" s="23">
        <v>2</v>
      </c>
      <c r="E10" s="2" t="s">
        <v>6</v>
      </c>
      <c r="F10" s="2"/>
      <c r="G10" s="20"/>
      <c r="H10" s="20"/>
      <c r="I10" s="20"/>
      <c r="J10" s="20"/>
      <c r="K10" s="20"/>
      <c r="L10" s="20"/>
      <c r="M10" s="16"/>
      <c r="N10" s="224"/>
      <c r="O10" s="34"/>
      <c r="P10" s="18"/>
    </row>
    <row r="11" spans="2:16" ht="12" customHeight="1" hidden="1">
      <c r="B11" s="202"/>
      <c r="C11" s="226"/>
      <c r="D11" s="23">
        <v>3</v>
      </c>
      <c r="E11" s="2" t="s">
        <v>265</v>
      </c>
      <c r="F11" s="2"/>
      <c r="G11" s="20"/>
      <c r="H11" s="20"/>
      <c r="I11" s="20"/>
      <c r="J11" s="20"/>
      <c r="K11" s="20"/>
      <c r="L11" s="20"/>
      <c r="M11" s="16"/>
      <c r="N11" s="224"/>
      <c r="O11" s="34"/>
      <c r="P11" s="18"/>
    </row>
    <row r="12" spans="2:16" ht="12" customHeight="1" hidden="1">
      <c r="B12" s="202"/>
      <c r="C12" s="226"/>
      <c r="D12" s="23">
        <v>4</v>
      </c>
      <c r="E12" s="2" t="s">
        <v>266</v>
      </c>
      <c r="F12" s="2"/>
      <c r="G12" s="20"/>
      <c r="H12" s="20"/>
      <c r="I12" s="20"/>
      <c r="J12" s="20"/>
      <c r="K12" s="20"/>
      <c r="L12" s="20"/>
      <c r="M12" s="16"/>
      <c r="N12" s="224"/>
      <c r="O12" s="34"/>
      <c r="P12" s="18"/>
    </row>
    <row r="13" spans="2:16" ht="3" customHeight="1">
      <c r="B13" s="203"/>
      <c r="C13" s="69"/>
      <c r="D13" s="69"/>
      <c r="E13" s="2"/>
      <c r="F13" s="5"/>
      <c r="G13" s="16"/>
      <c r="H13" s="16"/>
      <c r="I13" s="16"/>
      <c r="J13" s="16"/>
      <c r="K13" s="16"/>
      <c r="L13" s="16"/>
      <c r="M13" s="16"/>
      <c r="N13" s="14"/>
      <c r="O13" s="31"/>
      <c r="P13" s="18"/>
    </row>
    <row r="14" spans="2:17" ht="12" customHeight="1">
      <c r="B14" s="198" t="s">
        <v>47</v>
      </c>
      <c r="C14" s="225" t="s">
        <v>13</v>
      </c>
      <c r="D14" s="24">
        <v>0</v>
      </c>
      <c r="E14" s="10" t="s">
        <v>4</v>
      </c>
      <c r="F14" s="12"/>
      <c r="G14" s="16"/>
      <c r="H14" s="16"/>
      <c r="I14" s="16"/>
      <c r="J14" s="16"/>
      <c r="K14" s="16"/>
      <c r="L14" s="16"/>
      <c r="M14" s="16">
        <v>0</v>
      </c>
      <c r="N14" s="224">
        <f>SUMIF(I6,"&gt;0",M15)</f>
        <v>0</v>
      </c>
      <c r="O14" s="34">
        <v>1</v>
      </c>
      <c r="P14" s="18"/>
      <c r="Q14">
        <f>IF(O14&gt;1,1,0)</f>
        <v>0</v>
      </c>
    </row>
    <row r="15" spans="2:16" ht="12" customHeight="1">
      <c r="B15" s="199"/>
      <c r="C15" s="225"/>
      <c r="D15" s="24">
        <v>1</v>
      </c>
      <c r="E15" s="8" t="s">
        <v>10</v>
      </c>
      <c r="F15" s="12"/>
      <c r="G15" s="16"/>
      <c r="H15" s="16"/>
      <c r="I15" s="16"/>
      <c r="J15" s="16"/>
      <c r="K15" s="16"/>
      <c r="L15" s="16"/>
      <c r="M15" s="16">
        <v>700</v>
      </c>
      <c r="N15" s="224"/>
      <c r="O15" s="34"/>
      <c r="P15" s="18"/>
    </row>
    <row r="16" spans="2:16" ht="12" customHeight="1" hidden="1">
      <c r="B16" s="199"/>
      <c r="C16" s="225"/>
      <c r="D16" s="24">
        <v>2</v>
      </c>
      <c r="E16" s="8" t="s">
        <v>11</v>
      </c>
      <c r="F16" s="10"/>
      <c r="G16" s="19"/>
      <c r="H16" s="19"/>
      <c r="I16" s="19"/>
      <c r="J16" s="19"/>
      <c r="K16" s="19"/>
      <c r="L16" s="19"/>
      <c r="M16" s="16">
        <v>700</v>
      </c>
      <c r="N16" s="14"/>
      <c r="O16" s="31"/>
      <c r="P16" s="18"/>
    </row>
    <row r="17" spans="2:16" ht="12" customHeight="1" hidden="1">
      <c r="B17" s="199"/>
      <c r="C17" s="225"/>
      <c r="D17" s="24">
        <v>3</v>
      </c>
      <c r="E17" s="8" t="s">
        <v>5</v>
      </c>
      <c r="F17" s="11"/>
      <c r="G17" s="21"/>
      <c r="H17" s="21"/>
      <c r="I17" s="21"/>
      <c r="J17" s="21"/>
      <c r="K17" s="21"/>
      <c r="L17" s="21"/>
      <c r="M17" s="16">
        <v>700</v>
      </c>
      <c r="N17" s="14"/>
      <c r="O17" s="31"/>
      <c r="P17" s="18"/>
    </row>
    <row r="18" spans="2:16" ht="3" customHeight="1">
      <c r="B18" s="199"/>
      <c r="C18" s="25"/>
      <c r="D18" s="25"/>
      <c r="E18" s="2"/>
      <c r="F18" s="6"/>
      <c r="G18" s="16"/>
      <c r="H18" s="16"/>
      <c r="I18" s="16"/>
      <c r="J18" s="16"/>
      <c r="K18" s="16"/>
      <c r="L18" s="16"/>
      <c r="M18" s="16"/>
      <c r="N18" s="14"/>
      <c r="O18" s="31"/>
      <c r="P18" s="18"/>
    </row>
    <row r="19" spans="2:17" ht="12" customHeight="1">
      <c r="B19" s="199"/>
      <c r="C19" s="187" t="s">
        <v>12</v>
      </c>
      <c r="D19" s="26">
        <v>0</v>
      </c>
      <c r="E19" s="2" t="s">
        <v>4</v>
      </c>
      <c r="F19" s="6"/>
      <c r="G19" s="16"/>
      <c r="H19" s="16"/>
      <c r="I19" s="16"/>
      <c r="J19" s="16"/>
      <c r="K19" s="16"/>
      <c r="L19" s="16"/>
      <c r="M19" s="16">
        <v>0</v>
      </c>
      <c r="N19" s="224">
        <f>IF(J6=1,750,(IF(J6=2,750,IF(J6=3,1000,0))))</f>
        <v>0</v>
      </c>
      <c r="O19" s="34">
        <v>1</v>
      </c>
      <c r="P19" s="18"/>
      <c r="Q19">
        <f>IF(O19=2,1,IF(O19=4,1,0))</f>
        <v>0</v>
      </c>
    </row>
    <row r="20" spans="2:16" ht="12" customHeight="1">
      <c r="B20" s="199"/>
      <c r="C20" s="187"/>
      <c r="D20" s="26">
        <v>1</v>
      </c>
      <c r="E20" s="2" t="s">
        <v>3</v>
      </c>
      <c r="F20" s="6"/>
      <c r="G20" s="16"/>
      <c r="H20" s="16"/>
      <c r="I20" s="16"/>
      <c r="J20" s="16"/>
      <c r="K20" s="16"/>
      <c r="L20" s="16"/>
      <c r="M20" s="16">
        <v>750</v>
      </c>
      <c r="N20" s="224"/>
      <c r="O20" s="34"/>
      <c r="P20" s="18"/>
    </row>
    <row r="21" spans="2:16" ht="12" customHeight="1" hidden="1">
      <c r="B21" s="199"/>
      <c r="C21" s="187"/>
      <c r="D21" s="26">
        <v>2</v>
      </c>
      <c r="E21" s="2" t="s">
        <v>8</v>
      </c>
      <c r="F21" s="5"/>
      <c r="G21" s="19"/>
      <c r="H21" s="19"/>
      <c r="I21" s="19"/>
      <c r="J21" s="19"/>
      <c r="K21" s="19"/>
      <c r="L21" s="19"/>
      <c r="M21" s="16">
        <v>750</v>
      </c>
      <c r="N21" s="14"/>
      <c r="O21" s="31"/>
      <c r="P21" s="18"/>
    </row>
    <row r="22" spans="2:16" ht="12" customHeight="1" hidden="1">
      <c r="B22" s="199"/>
      <c r="C22" s="187"/>
      <c r="D22" s="26">
        <v>3</v>
      </c>
      <c r="E22" s="2" t="s">
        <v>7</v>
      </c>
      <c r="F22" s="7"/>
      <c r="G22" s="21"/>
      <c r="H22" s="21"/>
      <c r="I22" s="21"/>
      <c r="J22" s="21"/>
      <c r="K22" s="21"/>
      <c r="L22" s="22"/>
      <c r="M22" s="22">
        <v>1000</v>
      </c>
      <c r="N22" s="14"/>
      <c r="O22" s="31"/>
      <c r="P22" s="18"/>
    </row>
    <row r="23" spans="2:16" ht="3" customHeight="1">
      <c r="B23" s="199"/>
      <c r="C23" s="25"/>
      <c r="D23" s="25"/>
      <c r="E23" s="2"/>
      <c r="F23" s="6"/>
      <c r="G23" s="16"/>
      <c r="H23" s="16"/>
      <c r="I23" s="16"/>
      <c r="J23" s="16"/>
      <c r="K23" s="16"/>
      <c r="L23" s="16"/>
      <c r="M23" s="16"/>
      <c r="N23" s="14"/>
      <c r="O23" s="31"/>
      <c r="P23" s="18"/>
    </row>
    <row r="24" spans="2:16" ht="12" customHeight="1">
      <c r="B24" s="199"/>
      <c r="C24" s="225" t="s">
        <v>1</v>
      </c>
      <c r="D24" s="24">
        <v>1</v>
      </c>
      <c r="E24" s="2" t="s">
        <v>2</v>
      </c>
      <c r="F24" s="6"/>
      <c r="G24" s="16"/>
      <c r="H24" s="16"/>
      <c r="I24" s="16"/>
      <c r="J24" s="16"/>
      <c r="K24" s="16"/>
      <c r="L24" s="16"/>
      <c r="M24" s="16">
        <v>0</v>
      </c>
      <c r="N24" s="224">
        <f>IF(L6=2,1700,0)</f>
        <v>0</v>
      </c>
      <c r="O24" s="34">
        <v>1</v>
      </c>
      <c r="P24" s="18"/>
    </row>
    <row r="25" spans="2:16" ht="12" customHeight="1">
      <c r="B25" s="199"/>
      <c r="C25" s="225"/>
      <c r="D25" s="24">
        <v>2</v>
      </c>
      <c r="E25" s="7" t="s">
        <v>9</v>
      </c>
      <c r="F25" s="6"/>
      <c r="G25" s="16"/>
      <c r="H25" s="16"/>
      <c r="I25" s="16"/>
      <c r="J25" s="16"/>
      <c r="K25" s="16"/>
      <c r="L25" s="16"/>
      <c r="M25" s="16">
        <v>1700</v>
      </c>
      <c r="N25" s="224"/>
      <c r="O25" s="33"/>
      <c r="P25" s="18"/>
    </row>
    <row r="26" spans="2:16" ht="3" customHeight="1" thickBot="1">
      <c r="B26" s="3"/>
      <c r="C26" s="3"/>
      <c r="D26" s="3"/>
      <c r="E26" s="3"/>
      <c r="F26" s="3"/>
      <c r="G26" s="4"/>
      <c r="H26" s="4"/>
      <c r="I26" s="4"/>
      <c r="J26" s="4"/>
      <c r="K26" s="4"/>
      <c r="L26" s="4"/>
      <c r="M26" s="9"/>
      <c r="N26" s="64"/>
      <c r="P26" s="3"/>
    </row>
    <row r="27" ht="9" customHeight="1"/>
    <row r="28" ht="13.5" thickBot="1">
      <c r="F28" s="35"/>
    </row>
    <row r="29" spans="3:16" ht="14.25" customHeight="1" thickBot="1">
      <c r="C29" s="47"/>
      <c r="F29" s="236" t="s">
        <v>44</v>
      </c>
      <c r="G29" s="236"/>
      <c r="H29" s="236"/>
      <c r="I29" s="236"/>
      <c r="J29" s="236"/>
      <c r="K29" s="236"/>
      <c r="L29" s="236"/>
      <c r="M29" s="236"/>
      <c r="N29" s="236"/>
      <c r="O29" s="236"/>
      <c r="P29" s="236"/>
    </row>
    <row r="30" ht="4.5" customHeight="1">
      <c r="F30" s="35"/>
    </row>
    <row r="31" spans="3:16" ht="12.75">
      <c r="C31" s="12"/>
      <c r="D31" s="59"/>
      <c r="E31" s="59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</row>
    <row r="32" ht="6.75" customHeight="1"/>
    <row r="103" spans="3:13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3:13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3:13" ht="15.75">
      <c r="C105" s="217" t="s">
        <v>26</v>
      </c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</row>
    <row r="106" spans="3:13" ht="12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3:13" ht="12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3:13" ht="12.75"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3:13" ht="15.75">
      <c r="C109" s="18" t="s">
        <v>27</v>
      </c>
      <c r="D109" s="205">
        <f>firma!E7</f>
        <v>0</v>
      </c>
      <c r="E109" s="205"/>
      <c r="F109" s="205"/>
      <c r="G109" s="205"/>
      <c r="H109" s="205"/>
      <c r="I109" s="18"/>
      <c r="J109" s="18"/>
      <c r="K109" s="18"/>
      <c r="L109" s="18"/>
      <c r="M109" s="18"/>
    </row>
    <row r="110" spans="3:13" ht="12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3:13" ht="12.75">
      <c r="C111" s="18" t="s">
        <v>16</v>
      </c>
      <c r="D111" s="234">
        <f>firma!E14</f>
        <v>0</v>
      </c>
      <c r="E111" s="234"/>
      <c r="F111" s="234"/>
      <c r="G111" s="234"/>
      <c r="H111" s="234"/>
      <c r="I111" s="18"/>
      <c r="J111" s="18"/>
      <c r="K111" s="18"/>
      <c r="L111" s="18"/>
      <c r="M111" s="18"/>
    </row>
    <row r="112" spans="3:13" ht="12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3:13" ht="12.75">
      <c r="C113" s="18" t="s">
        <v>28</v>
      </c>
      <c r="D113" s="18"/>
      <c r="E113" s="18"/>
      <c r="F113" s="18"/>
      <c r="G113" s="18" t="s">
        <v>29</v>
      </c>
      <c r="J113" s="18"/>
      <c r="K113" s="18"/>
      <c r="L113" s="18"/>
      <c r="M113" s="18"/>
    </row>
    <row r="114" spans="3:13" ht="6" customHeight="1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3:13" ht="12.75">
      <c r="C115" s="18"/>
      <c r="D115" s="40">
        <f>firma!E9</f>
        <v>0</v>
      </c>
      <c r="E115" s="40"/>
      <c r="F115" s="40">
        <f>firma!E9</f>
        <v>0</v>
      </c>
      <c r="G115" s="40"/>
      <c r="H115" s="234">
        <f>firma!I9</f>
        <v>0</v>
      </c>
      <c r="I115" s="234"/>
      <c r="J115" s="234"/>
      <c r="K115" s="234"/>
      <c r="L115" s="234"/>
      <c r="M115" s="40"/>
    </row>
    <row r="116" spans="3:13" ht="12.75">
      <c r="C116" s="18"/>
      <c r="D116" s="40">
        <f>firma!E11</f>
        <v>0</v>
      </c>
      <c r="E116" s="40"/>
      <c r="F116" s="40">
        <f>firma!E11</f>
        <v>0</v>
      </c>
      <c r="G116" s="40"/>
      <c r="H116" s="235">
        <f>firma!I11</f>
        <v>0</v>
      </c>
      <c r="I116" s="235"/>
      <c r="J116" s="235"/>
      <c r="K116" s="235"/>
      <c r="L116" s="235"/>
      <c r="M116" s="40"/>
    </row>
    <row r="117" spans="3:13" ht="12.7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3:13" ht="12.7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3:13" ht="12.75">
      <c r="C119" s="18" t="s">
        <v>17</v>
      </c>
      <c r="D119" s="40">
        <f>firma!E16</f>
        <v>0</v>
      </c>
      <c r="E119" s="40"/>
      <c r="F119" s="58">
        <f>firma!E16</f>
        <v>0</v>
      </c>
      <c r="G119" s="18" t="s">
        <v>24</v>
      </c>
      <c r="H119" s="234">
        <f>firma!I18</f>
        <v>0</v>
      </c>
      <c r="I119" s="234"/>
      <c r="J119" s="234"/>
      <c r="K119" s="40"/>
      <c r="L119" s="40"/>
      <c r="M119" s="40"/>
    </row>
    <row r="120" spans="3:13" ht="12.75">
      <c r="C120" s="18" t="s">
        <v>21</v>
      </c>
      <c r="D120" s="40">
        <f>firma!E18</f>
        <v>0</v>
      </c>
      <c r="E120" s="40"/>
      <c r="F120" s="58">
        <f>firma!E18</f>
        <v>0</v>
      </c>
      <c r="G120" s="18" t="s">
        <v>23</v>
      </c>
      <c r="H120" s="234">
        <f>firma!I20</f>
        <v>0</v>
      </c>
      <c r="I120" s="234"/>
      <c r="J120" s="234"/>
      <c r="K120" s="40"/>
      <c r="L120" s="40"/>
      <c r="M120" s="40"/>
    </row>
    <row r="121" spans="3:13" ht="12.75">
      <c r="C121" s="18" t="s">
        <v>20</v>
      </c>
      <c r="D121" s="40">
        <f>firma!E20</f>
        <v>0</v>
      </c>
      <c r="E121" s="40"/>
      <c r="F121" s="40">
        <f>firma!E20</f>
        <v>0</v>
      </c>
      <c r="G121" s="40"/>
      <c r="H121" s="18"/>
      <c r="I121" s="18"/>
      <c r="J121" s="18"/>
      <c r="K121" s="18"/>
      <c r="L121" s="18"/>
      <c r="M121" s="18"/>
    </row>
    <row r="122" spans="3:13" ht="12.75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3:13" ht="12.7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3:13" ht="12.75">
      <c r="C124" s="18" t="s">
        <v>30</v>
      </c>
      <c r="D124" s="40">
        <f>firma!E24</f>
        <v>0</v>
      </c>
      <c r="E124" s="40"/>
      <c r="F124" s="228">
        <f>firma!E24</f>
        <v>0</v>
      </c>
      <c r="G124" s="228"/>
      <c r="H124" s="228"/>
      <c r="I124" s="228"/>
      <c r="J124" s="228"/>
      <c r="K124" s="228"/>
      <c r="L124" s="40"/>
      <c r="M124" s="40"/>
    </row>
    <row r="125" spans="3:13" ht="12.75">
      <c r="C125" s="18"/>
      <c r="D125" s="40"/>
      <c r="E125" s="40"/>
      <c r="F125" s="228"/>
      <c r="G125" s="228"/>
      <c r="H125" s="228"/>
      <c r="I125" s="228"/>
      <c r="J125" s="228"/>
      <c r="K125" s="228"/>
      <c r="L125" s="40"/>
      <c r="M125" s="40"/>
    </row>
    <row r="126" spans="3:13" ht="12.75">
      <c r="C126" s="39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3:13" ht="12.75">
      <c r="C127" s="18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3:13" ht="12.75">
      <c r="C128" s="18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3:13" ht="12.75">
      <c r="C129" s="18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3:13" ht="15">
      <c r="C130" s="229" t="s">
        <v>42</v>
      </c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</row>
    <row r="131" spans="3:13" ht="12.7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6:12" ht="12.75">
      <c r="F132" s="155" t="s">
        <v>255</v>
      </c>
      <c r="G132" s="156">
        <f aca="true" t="shared" si="0" ref="G132:L132">G6</f>
        <v>0</v>
      </c>
      <c r="H132" s="156">
        <f t="shared" si="0"/>
        <v>1</v>
      </c>
      <c r="I132" s="156">
        <f t="shared" si="0"/>
        <v>0</v>
      </c>
      <c r="J132" s="156">
        <f t="shared" si="0"/>
        <v>0</v>
      </c>
      <c r="K132" s="156">
        <f t="shared" si="0"/>
        <v>1</v>
      </c>
      <c r="L132" s="156">
        <f t="shared" si="0"/>
        <v>1</v>
      </c>
    </row>
    <row r="133" spans="3:13" ht="12.7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3:13" ht="12.75">
      <c r="C134" s="18" t="s">
        <v>31</v>
      </c>
      <c r="D134" s="227" t="str">
        <f>VLOOKUP('R251'!O8,'R251'!D8:E12,2)</f>
        <v>napěťový - termočlánek (B, C, E, J, K, N, R, S, T)</v>
      </c>
      <c r="E134" s="227"/>
      <c r="F134" s="227"/>
      <c r="G134" s="227"/>
      <c r="H134" s="227"/>
      <c r="I134" s="227"/>
      <c r="J134" s="18"/>
      <c r="K134" s="18"/>
      <c r="L134" s="18"/>
      <c r="M134" s="18"/>
    </row>
    <row r="135" spans="3:13" ht="12.75">
      <c r="C135" s="18" t="s">
        <v>43</v>
      </c>
      <c r="D135" s="227" t="str">
        <f>VLOOKUP('R251'!O14,'R251'!D14:E17,2)</f>
        <v>proudový 0–20 (4–20) mA pasivní</v>
      </c>
      <c r="E135" s="227"/>
      <c r="F135" s="227"/>
      <c r="G135" s="227"/>
      <c r="H135" s="227"/>
      <c r="I135" s="227"/>
      <c r="J135" s="18"/>
      <c r="K135" s="18"/>
      <c r="L135" s="18"/>
      <c r="M135" s="18"/>
    </row>
    <row r="136" spans="3:13" ht="12.75">
      <c r="C136" s="18" t="s">
        <v>32</v>
      </c>
      <c r="D136" s="227" t="str">
        <f>VLOOKUP('R251'!O19,'R251'!D19:E22,2)</f>
        <v>RS-232</v>
      </c>
      <c r="E136" s="227"/>
      <c r="F136" s="227"/>
      <c r="G136" s="227"/>
      <c r="H136" s="227"/>
      <c r="I136" s="227"/>
      <c r="J136" s="18"/>
      <c r="K136" s="18"/>
      <c r="L136" s="18"/>
      <c r="M136" s="18"/>
    </row>
    <row r="137" spans="3:13" ht="12.75">
      <c r="C137" s="18" t="s">
        <v>34</v>
      </c>
      <c r="D137" s="227" t="str">
        <f>VLOOKUP('R251'!O24,'R251'!D24:E25,2)</f>
        <v>vestavné</v>
      </c>
      <c r="E137" s="227"/>
      <c r="F137" s="227"/>
      <c r="G137" s="227"/>
      <c r="H137" s="227"/>
      <c r="I137" s="227"/>
      <c r="J137" s="18"/>
      <c r="K137" s="18"/>
      <c r="L137" s="18"/>
      <c r="M137" s="18"/>
    </row>
    <row r="138" spans="3:13" ht="12.75">
      <c r="C138" s="18"/>
      <c r="D138" s="19"/>
      <c r="E138" s="19"/>
      <c r="F138" s="19"/>
      <c r="G138" s="19"/>
      <c r="H138" s="19"/>
      <c r="I138" s="19"/>
      <c r="J138" s="18"/>
      <c r="K138" s="18"/>
      <c r="L138" s="18"/>
      <c r="M138" s="18"/>
    </row>
    <row r="139" spans="3:13" ht="12.75">
      <c r="C139" s="18"/>
      <c r="D139" s="18"/>
      <c r="E139" s="18"/>
      <c r="F139" s="18"/>
      <c r="G139" s="18"/>
      <c r="H139" s="196" t="s">
        <v>35</v>
      </c>
      <c r="I139" s="196"/>
      <c r="J139" s="196"/>
      <c r="K139" s="197">
        <f>'R251'!P6</f>
        <v>6900</v>
      </c>
      <c r="L139" s="197"/>
      <c r="M139" s="197"/>
    </row>
    <row r="140" spans="3:13" ht="12.7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3:13" ht="12.7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3:13" ht="12.7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3:13" ht="12.75">
      <c r="C143" s="42" t="s">
        <v>36</v>
      </c>
      <c r="D143" s="207">
        <f>firma!E22</f>
        <v>0</v>
      </c>
      <c r="E143" s="207"/>
      <c r="F143" s="207"/>
      <c r="G143" s="207"/>
      <c r="H143" s="207"/>
      <c r="I143" s="207"/>
      <c r="J143" s="18"/>
      <c r="K143" s="18"/>
      <c r="L143" s="18"/>
      <c r="M143" s="18"/>
    </row>
    <row r="144" spans="3:13" ht="12.7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3:13" ht="12.7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3:13" ht="12.75">
      <c r="C146" s="42" t="s">
        <v>37</v>
      </c>
      <c r="D146" s="43">
        <f ca="1">TODAY()</f>
        <v>40626</v>
      </c>
      <c r="E146" s="18"/>
      <c r="F146" s="61"/>
      <c r="G146" s="18"/>
      <c r="H146" s="18"/>
      <c r="I146" s="18"/>
      <c r="J146" s="18"/>
      <c r="K146" s="18"/>
      <c r="L146" s="18"/>
      <c r="M146" s="18"/>
    </row>
    <row r="147" spans="3:13" ht="12.75">
      <c r="C147" s="18"/>
      <c r="D147" s="18"/>
      <c r="E147" s="18"/>
      <c r="F147" s="18"/>
      <c r="G147" s="18"/>
      <c r="H147" s="18"/>
      <c r="I147" s="206" t="s">
        <v>38</v>
      </c>
      <c r="J147" s="206"/>
      <c r="K147" s="206"/>
      <c r="L147" s="206"/>
      <c r="M147" s="60"/>
    </row>
    <row r="148" spans="3:13" ht="12.7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3:13" ht="12.7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7:13" ht="12.75">
      <c r="G150"/>
      <c r="H150"/>
      <c r="I150"/>
      <c r="J150"/>
      <c r="K150"/>
      <c r="L150"/>
      <c r="M150"/>
    </row>
    <row r="151" spans="7:13" ht="12.75">
      <c r="G151"/>
      <c r="H151"/>
      <c r="I151"/>
      <c r="J151"/>
      <c r="K151"/>
      <c r="L151"/>
      <c r="M151"/>
    </row>
    <row r="152" spans="7:13" ht="12.75">
      <c r="G152"/>
      <c r="H152"/>
      <c r="I152"/>
      <c r="J152"/>
      <c r="K152"/>
      <c r="L152"/>
      <c r="M152"/>
    </row>
    <row r="153" spans="7:13" ht="12.75">
      <c r="G153"/>
      <c r="H153"/>
      <c r="I153"/>
      <c r="J153"/>
      <c r="K153"/>
      <c r="L153"/>
      <c r="M153"/>
    </row>
    <row r="154" spans="7:13" ht="12.75">
      <c r="G154"/>
      <c r="H154"/>
      <c r="I154"/>
      <c r="J154"/>
      <c r="K154"/>
      <c r="L154"/>
      <c r="M154"/>
    </row>
    <row r="155" spans="7:13" ht="12.75">
      <c r="G155"/>
      <c r="H155"/>
      <c r="I155"/>
      <c r="J155"/>
      <c r="K155"/>
      <c r="L155"/>
      <c r="M155"/>
    </row>
    <row r="156" spans="7:13" ht="12.75">
      <c r="G156"/>
      <c r="H156"/>
      <c r="I156"/>
      <c r="J156"/>
      <c r="K156"/>
      <c r="L156"/>
      <c r="M156"/>
    </row>
    <row r="157" spans="7:13" ht="12.75">
      <c r="G157"/>
      <c r="H157"/>
      <c r="I157"/>
      <c r="J157"/>
      <c r="K157"/>
      <c r="L157"/>
      <c r="M157"/>
    </row>
    <row r="158" spans="7:13" ht="12.75">
      <c r="G158"/>
      <c r="H158"/>
      <c r="I158"/>
      <c r="J158"/>
      <c r="K158"/>
      <c r="L158"/>
      <c r="M158"/>
    </row>
    <row r="159" spans="7:13" ht="12.75">
      <c r="G159"/>
      <c r="H159"/>
      <c r="I159"/>
      <c r="J159"/>
      <c r="K159"/>
      <c r="L159"/>
      <c r="M159"/>
    </row>
    <row r="160" spans="7:13" ht="12.75">
      <c r="G160"/>
      <c r="H160"/>
      <c r="I160"/>
      <c r="J160"/>
      <c r="K160"/>
      <c r="L160"/>
      <c r="M160"/>
    </row>
    <row r="161" spans="7:13" ht="12.75">
      <c r="G161"/>
      <c r="H161"/>
      <c r="I161"/>
      <c r="J161"/>
      <c r="K161"/>
      <c r="L161"/>
      <c r="M161"/>
    </row>
    <row r="162" spans="7:13" ht="12.75">
      <c r="G162"/>
      <c r="H162"/>
      <c r="I162"/>
      <c r="J162"/>
      <c r="K162"/>
      <c r="L162"/>
      <c r="M162"/>
    </row>
    <row r="163" spans="7:13" ht="12.75">
      <c r="G163"/>
      <c r="H163"/>
      <c r="I163"/>
      <c r="J163"/>
      <c r="K163"/>
      <c r="L163"/>
      <c r="M163"/>
    </row>
    <row r="164" spans="7:13" ht="12.75">
      <c r="G164"/>
      <c r="H164"/>
      <c r="I164"/>
      <c r="J164"/>
      <c r="K164"/>
      <c r="L164"/>
      <c r="M164"/>
    </row>
    <row r="165" spans="7:13" ht="12.75">
      <c r="G165"/>
      <c r="H165"/>
      <c r="I165"/>
      <c r="J165"/>
      <c r="K165"/>
      <c r="L165"/>
      <c r="M165"/>
    </row>
  </sheetData>
  <sheetProtection sheet="1" objects="1" scenarios="1"/>
  <mergeCells count="32">
    <mergeCell ref="H115:L115"/>
    <mergeCell ref="H116:L116"/>
    <mergeCell ref="D143:I143"/>
    <mergeCell ref="F124:K125"/>
    <mergeCell ref="H139:J139"/>
    <mergeCell ref="K139:M139"/>
    <mergeCell ref="D137:I137"/>
    <mergeCell ref="C130:M130"/>
    <mergeCell ref="I147:L147"/>
    <mergeCell ref="D134:I134"/>
    <mergeCell ref="D135:I135"/>
    <mergeCell ref="H119:J119"/>
    <mergeCell ref="H120:J120"/>
    <mergeCell ref="D136:I136"/>
    <mergeCell ref="D109:H109"/>
    <mergeCell ref="D111:H111"/>
    <mergeCell ref="C105:M105"/>
    <mergeCell ref="C19:C22"/>
    <mergeCell ref="F29:P29"/>
    <mergeCell ref="F31:P31"/>
    <mergeCell ref="N19:N20"/>
    <mergeCell ref="N24:N25"/>
    <mergeCell ref="B14:B25"/>
    <mergeCell ref="B4:P5"/>
    <mergeCell ref="B3:F3"/>
    <mergeCell ref="B6:F6"/>
    <mergeCell ref="B7:B13"/>
    <mergeCell ref="N14:N15"/>
    <mergeCell ref="C24:C25"/>
    <mergeCell ref="C14:C17"/>
    <mergeCell ref="C8:C12"/>
    <mergeCell ref="N8:N12"/>
  </mergeCells>
  <conditionalFormatting sqref="G6">
    <cfRule type="cellIs" priority="1" dxfId="0" operator="lessThan" stopIfTrue="1">
      <formula>1</formula>
    </cfRule>
  </conditionalFormatting>
  <printOptions/>
  <pageMargins left="0.64" right="0.2" top="0.56" bottom="0.16" header="0.24" footer="0.13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2:DF645"/>
  <sheetViews>
    <sheetView showGridLines="0" zoomScale="80" zoomScaleNormal="80" workbookViewId="0" topLeftCell="A1">
      <selection activeCell="C120" sqref="C120"/>
    </sheetView>
  </sheetViews>
  <sheetFormatPr defaultColWidth="9.140625" defaultRowHeight="12.75"/>
  <cols>
    <col min="1" max="1" width="4.8515625" style="0" customWidth="1"/>
    <col min="2" max="2" width="2.7109375" style="0" customWidth="1"/>
    <col min="3" max="3" width="24.28125" style="0" customWidth="1"/>
    <col min="4" max="4" width="3.421875" style="0" customWidth="1"/>
    <col min="5" max="5" width="2.7109375" style="0" customWidth="1"/>
    <col min="6" max="6" width="20.7109375" style="71" customWidth="1"/>
    <col min="7" max="7" width="12.28125" style="71" customWidth="1"/>
    <col min="8" max="8" width="2.7109375" style="1" customWidth="1"/>
    <col min="9" max="9" width="3.7109375" style="0" customWidth="1"/>
    <col min="10" max="10" width="1.7109375" style="0" customWidth="1"/>
    <col min="11" max="11" width="3.57421875" style="1" customWidth="1"/>
    <col min="12" max="13" width="3.7109375" style="1" customWidth="1"/>
    <col min="14" max="22" width="3.7109375" style="0" customWidth="1"/>
    <col min="23" max="24" width="3.7109375" style="0" hidden="1" customWidth="1"/>
    <col min="25" max="25" width="2.57421875" style="0" hidden="1" customWidth="1"/>
    <col min="26" max="26" width="2.8515625" style="0" hidden="1" customWidth="1"/>
    <col min="27" max="27" width="7.28125" style="0" hidden="1" customWidth="1"/>
    <col min="28" max="28" width="3.28125" style="0" hidden="1" customWidth="1"/>
    <col min="29" max="29" width="6.140625" style="0" hidden="1" customWidth="1"/>
    <col min="30" max="30" width="5.7109375" style="0" hidden="1" customWidth="1"/>
    <col min="31" max="31" width="10.57421875" style="72" customWidth="1"/>
    <col min="53" max="53" width="1.7109375" style="0" customWidth="1"/>
    <col min="54" max="54" width="2.28125" style="0" customWidth="1"/>
    <col min="55" max="55" width="6.57421875" style="0" customWidth="1"/>
    <col min="56" max="56" width="8.140625" style="0" customWidth="1"/>
    <col min="57" max="57" width="11.140625" style="0" customWidth="1"/>
    <col min="58" max="58" width="7.140625" style="0" customWidth="1"/>
    <col min="59" max="59" width="2.421875" style="0" customWidth="1"/>
    <col min="60" max="60" width="2.140625" style="0" customWidth="1"/>
    <col min="61" max="71" width="4.7109375" style="0" customWidth="1"/>
    <col min="72" max="72" width="3.140625" style="0" customWidth="1"/>
    <col min="86" max="88" width="2.7109375" style="0" customWidth="1"/>
    <col min="89" max="105" width="4.28125" style="0" customWidth="1"/>
  </cols>
  <sheetData>
    <row r="1" ht="6.75" customHeight="1"/>
    <row r="2" spans="2:31" ht="20.25" customHeight="1">
      <c r="B2" s="18"/>
      <c r="C2" s="114"/>
      <c r="D2" s="290" t="s">
        <v>79</v>
      </c>
      <c r="E2" s="290"/>
      <c r="F2" s="290"/>
      <c r="G2" s="290"/>
      <c r="H2" s="290"/>
      <c r="I2" s="115">
        <v>2</v>
      </c>
      <c r="J2" s="115">
        <v>1</v>
      </c>
      <c r="K2" s="116">
        <v>1</v>
      </c>
      <c r="L2" s="116">
        <v>1</v>
      </c>
      <c r="M2" s="116">
        <v>0</v>
      </c>
      <c r="N2" s="116">
        <v>0</v>
      </c>
      <c r="O2" s="116">
        <v>0</v>
      </c>
      <c r="P2" s="116">
        <v>2</v>
      </c>
      <c r="Q2" s="116">
        <v>0</v>
      </c>
      <c r="R2" s="101">
        <v>0</v>
      </c>
      <c r="S2" s="116">
        <v>0</v>
      </c>
      <c r="T2" s="116">
        <v>0</v>
      </c>
      <c r="U2" s="116">
        <v>0</v>
      </c>
      <c r="V2" s="116">
        <v>0</v>
      </c>
      <c r="W2" s="115"/>
      <c r="X2" s="115"/>
      <c r="Y2" s="115"/>
      <c r="Z2" s="117"/>
      <c r="AA2" s="117"/>
      <c r="AB2" s="117"/>
      <c r="AC2" s="117"/>
      <c r="AD2" s="117"/>
      <c r="AE2" s="118">
        <v>12900</v>
      </c>
    </row>
    <row r="3" spans="2:71" ht="6.75" customHeight="1">
      <c r="B3" s="291"/>
      <c r="C3" s="291"/>
      <c r="D3" s="291"/>
      <c r="E3" s="291"/>
      <c r="F3" s="291"/>
      <c r="G3" s="291"/>
      <c r="H3" s="291"/>
      <c r="I3" s="291"/>
      <c r="J3" s="119"/>
      <c r="K3" s="119"/>
      <c r="L3" s="22"/>
      <c r="M3" s="22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20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2:72" s="73" customFormat="1" ht="24.75" customHeight="1">
      <c r="B4" s="74"/>
      <c r="C4" s="74"/>
      <c r="D4" s="170"/>
      <c r="E4" s="171"/>
      <c r="F4" s="292" t="s">
        <v>53</v>
      </c>
      <c r="G4" s="292"/>
      <c r="H4" s="292"/>
      <c r="I4" s="292"/>
      <c r="J4" s="171"/>
      <c r="K4" s="171">
        <f>VLOOKUP(H33-1,E33:F35,1)</f>
        <v>0</v>
      </c>
      <c r="L4" s="171">
        <f>VLOOKUP(H34-1,E33:F35,1)</f>
        <v>0</v>
      </c>
      <c r="M4" s="171">
        <f>VLOOKUP(H35-1,E33:F35,1)</f>
        <v>0</v>
      </c>
      <c r="N4" s="171">
        <f>VLOOKUP(H36-1,E33:F35,1)</f>
        <v>0</v>
      </c>
      <c r="O4" s="171">
        <f>VLOOKUP(H61-1,E61:F63,1)</f>
        <v>0</v>
      </c>
      <c r="P4" s="171">
        <f>IF(AB9&lt;AB4,AB4+AC21,AB9+AC21)</f>
        <v>2</v>
      </c>
      <c r="Q4" s="171">
        <f>Z19</f>
        <v>0</v>
      </c>
      <c r="R4" s="171">
        <f>IF(M48,1,0)</f>
        <v>0</v>
      </c>
      <c r="S4" s="171">
        <f>IF(M50,1,0)</f>
        <v>0</v>
      </c>
      <c r="T4" s="171">
        <f>IF(I39,VLOOKUP((H39-1),E39:F42,1)+0,VLOOKUP((H39-1),E39:F42,1))</f>
        <v>0</v>
      </c>
      <c r="U4" s="172">
        <f>VLOOKUP(H48-1,E48:F52,1)</f>
        <v>0</v>
      </c>
      <c r="V4" s="173">
        <f>VLOOKUP(H54-1,E54:F58,1)</f>
        <v>0</v>
      </c>
      <c r="AA4" s="157" t="s">
        <v>258</v>
      </c>
      <c r="AB4" s="73">
        <f>COUNTIF(K4:N4,"&gt;0")</f>
        <v>0</v>
      </c>
      <c r="AE4" s="75"/>
      <c r="BA4"/>
      <c r="BB4"/>
      <c r="BT4"/>
    </row>
    <row r="5" spans="2:71" ht="7.5" customHeight="1">
      <c r="B5" s="76"/>
      <c r="C5" s="76"/>
      <c r="D5" s="76"/>
      <c r="E5" s="76"/>
      <c r="F5" s="76"/>
      <c r="G5" s="76"/>
      <c r="H5" s="76"/>
      <c r="I5" s="76"/>
      <c r="J5" s="76"/>
      <c r="K5" s="76"/>
      <c r="AB5">
        <f>IF(AB4&gt;H76,AB4-H76-1,0)</f>
        <v>0</v>
      </c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2:71" ht="6.75" customHeight="1">
      <c r="B6" s="6"/>
      <c r="C6" s="6"/>
      <c r="D6" s="6"/>
      <c r="E6" s="6"/>
      <c r="F6" s="77"/>
      <c r="G6" s="77"/>
      <c r="H6" s="9"/>
      <c r="I6" s="6"/>
      <c r="J6" s="6"/>
      <c r="K6" s="9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</row>
    <row r="7" spans="1:71" ht="21.75" customHeight="1">
      <c r="A7" s="59"/>
      <c r="B7" s="296" t="s">
        <v>54</v>
      </c>
      <c r="C7" s="296"/>
      <c r="D7" s="296"/>
      <c r="E7" s="158">
        <v>1</v>
      </c>
      <c r="F7" s="159">
        <f>H33</f>
        <v>1</v>
      </c>
      <c r="G7" s="103"/>
      <c r="H7" s="85"/>
      <c r="I7" s="86"/>
      <c r="J7" s="87"/>
      <c r="K7" s="104"/>
      <c r="L7" s="85"/>
      <c r="M7" s="85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>
        <f>AB5</f>
        <v>0</v>
      </c>
      <c r="AC7" s="86"/>
      <c r="AD7" s="86"/>
      <c r="AE7" s="122">
        <v>0</v>
      </c>
      <c r="BN7" s="18"/>
      <c r="BO7" s="18"/>
      <c r="BP7" s="18"/>
      <c r="BQ7" s="18"/>
      <c r="BR7" s="18"/>
      <c r="BS7" s="18"/>
    </row>
    <row r="8" spans="1:71" ht="4.5" customHeight="1">
      <c r="A8" s="59"/>
      <c r="B8" s="296"/>
      <c r="C8" s="296"/>
      <c r="D8" s="296"/>
      <c r="E8" s="79"/>
      <c r="F8" s="80"/>
      <c r="G8" s="78"/>
      <c r="J8" s="12"/>
      <c r="K8" s="79"/>
      <c r="AE8" s="120"/>
      <c r="BN8" s="18"/>
      <c r="BO8" s="18"/>
      <c r="BP8" s="18"/>
      <c r="BQ8" s="18"/>
      <c r="BR8" s="18"/>
      <c r="BS8" s="18"/>
    </row>
    <row r="9" spans="1:71" ht="21.75" customHeight="1">
      <c r="A9" s="59"/>
      <c r="B9" s="296"/>
      <c r="C9" s="296"/>
      <c r="D9" s="296"/>
      <c r="E9" s="158">
        <v>2</v>
      </c>
      <c r="F9" s="159">
        <f>H34</f>
        <v>1</v>
      </c>
      <c r="G9" s="78"/>
      <c r="J9" s="12"/>
      <c r="K9" s="79"/>
      <c r="AA9" t="s">
        <v>259</v>
      </c>
      <c r="AB9">
        <f>Z17</f>
        <v>2</v>
      </c>
      <c r="AE9" s="121">
        <v>0</v>
      </c>
      <c r="BC9" s="217" t="s">
        <v>26</v>
      </c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</row>
    <row r="10" spans="1:71" ht="4.5" customHeight="1">
      <c r="A10" s="59"/>
      <c r="B10" s="296"/>
      <c r="C10" s="296"/>
      <c r="D10" s="296"/>
      <c r="E10" s="79"/>
      <c r="F10" s="80"/>
      <c r="G10" s="78"/>
      <c r="J10" s="12"/>
      <c r="K10" s="79"/>
      <c r="AE10" s="120"/>
      <c r="BS10" s="18"/>
    </row>
    <row r="11" spans="1:71" ht="21.75" customHeight="1">
      <c r="A11" s="59"/>
      <c r="B11" s="296"/>
      <c r="C11" s="296"/>
      <c r="D11" s="296"/>
      <c r="E11" s="158">
        <v>3</v>
      </c>
      <c r="F11" s="160"/>
      <c r="G11" s="103"/>
      <c r="H11" s="85"/>
      <c r="I11" s="86"/>
      <c r="J11" s="87"/>
      <c r="K11" s="104"/>
      <c r="L11" s="85"/>
      <c r="M11" s="85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122">
        <f>IF(H35&gt;1,1800,0)</f>
        <v>0</v>
      </c>
      <c r="BC11" s="38" t="s">
        <v>27</v>
      </c>
      <c r="BD11" s="289">
        <f>firma!E7</f>
        <v>0</v>
      </c>
      <c r="BE11" s="289"/>
      <c r="BF11" s="289"/>
      <c r="BG11" s="289"/>
      <c r="BH11" s="289"/>
      <c r="BI11" s="289"/>
      <c r="BJ11" s="289"/>
      <c r="BK11" s="289"/>
      <c r="BL11" s="289"/>
      <c r="BM11" s="132"/>
      <c r="BN11" s="38"/>
      <c r="BO11" s="38"/>
      <c r="BP11" s="38"/>
      <c r="BQ11" s="38"/>
      <c r="BR11" s="38"/>
      <c r="BS11" s="38"/>
    </row>
    <row r="12" spans="1:71" ht="4.5" customHeight="1">
      <c r="A12" s="59"/>
      <c r="B12" s="296"/>
      <c r="C12" s="296"/>
      <c r="D12" s="296"/>
      <c r="E12" s="79"/>
      <c r="F12" s="80"/>
      <c r="G12" s="78"/>
      <c r="J12" s="12"/>
      <c r="K12" s="79"/>
      <c r="AE12" s="121"/>
      <c r="BS12" s="40"/>
    </row>
    <row r="13" spans="1:71" ht="21.75" customHeight="1">
      <c r="A13" s="59"/>
      <c r="B13" s="296"/>
      <c r="C13" s="296"/>
      <c r="D13" s="296"/>
      <c r="E13" s="158">
        <v>4</v>
      </c>
      <c r="F13" s="160"/>
      <c r="G13" s="78"/>
      <c r="J13" s="12"/>
      <c r="K13" s="79"/>
      <c r="AE13" s="121">
        <f>IF(H36&gt;1,1200,0)</f>
        <v>0</v>
      </c>
      <c r="BC13" s="18" t="s">
        <v>16</v>
      </c>
      <c r="BD13" s="234">
        <f>firma!E14</f>
        <v>0</v>
      </c>
      <c r="BE13" s="234"/>
      <c r="BF13" s="234"/>
      <c r="BG13" s="234"/>
      <c r="BH13" s="234"/>
      <c r="BI13" s="234"/>
      <c r="BJ13" s="234"/>
      <c r="BK13" s="234"/>
      <c r="BL13" s="234"/>
      <c r="BM13" s="129"/>
      <c r="BS13" s="18"/>
    </row>
    <row r="14" spans="2:71" ht="8.25" customHeight="1">
      <c r="B14" s="17"/>
      <c r="C14" s="125"/>
      <c r="D14" s="125"/>
      <c r="E14" s="81"/>
      <c r="F14" s="81"/>
      <c r="G14" s="81"/>
      <c r="I14" s="82"/>
      <c r="J14" s="82"/>
      <c r="K14" s="83"/>
      <c r="AE14" s="120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</row>
    <row r="15" spans="2:70" ht="21.75" customHeight="1">
      <c r="B15" s="284" t="s">
        <v>55</v>
      </c>
      <c r="C15" s="284"/>
      <c r="D15" s="284"/>
      <c r="E15" s="297">
        <f>L36</f>
        <v>2</v>
      </c>
      <c r="F15" s="298"/>
      <c r="G15" s="84"/>
      <c r="H15" s="85"/>
      <c r="I15" s="86"/>
      <c r="J15" s="87"/>
      <c r="K15" s="85"/>
      <c r="L15" s="85"/>
      <c r="M15" s="85"/>
      <c r="N15" s="88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122">
        <f>VLOOKUP(H61-1,E61:G63,3)</f>
        <v>0</v>
      </c>
      <c r="BC15" s="18" t="s">
        <v>28</v>
      </c>
      <c r="BD15" s="18"/>
      <c r="BE15" s="18"/>
      <c r="BF15" s="18"/>
      <c r="BG15" s="18"/>
      <c r="BH15" s="18"/>
      <c r="BI15" s="18"/>
      <c r="BJ15" s="18" t="s">
        <v>29</v>
      </c>
      <c r="BK15" s="18"/>
      <c r="BL15" s="1"/>
      <c r="BM15" s="1"/>
      <c r="BN15" s="1"/>
      <c r="BO15" s="1"/>
      <c r="BP15" s="18"/>
      <c r="BQ15" s="18"/>
      <c r="BR15" s="18"/>
    </row>
    <row r="16" spans="2:70" ht="6.75" customHeight="1">
      <c r="B16" s="17"/>
      <c r="C16" s="17"/>
      <c r="D16" s="17"/>
      <c r="E16" s="6"/>
      <c r="F16" s="77"/>
      <c r="G16" s="77"/>
      <c r="H16" s="9"/>
      <c r="I16" s="6"/>
      <c r="J16" s="6"/>
      <c r="K16" s="9"/>
      <c r="AE16" s="120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</row>
    <row r="17" spans="2:70" ht="21.75" customHeight="1">
      <c r="B17" s="299" t="s">
        <v>256</v>
      </c>
      <c r="C17" s="299"/>
      <c r="D17" s="300"/>
      <c r="E17" s="294">
        <f>K68</f>
        <v>1</v>
      </c>
      <c r="F17" s="295"/>
      <c r="G17" s="77"/>
      <c r="H17" s="9"/>
      <c r="I17" s="6"/>
      <c r="J17" s="6"/>
      <c r="K17" s="9"/>
      <c r="Z17">
        <f>H76+1</f>
        <v>2</v>
      </c>
      <c r="AA17" t="s">
        <v>260</v>
      </c>
      <c r="AC17" t="s">
        <v>262</v>
      </c>
      <c r="AD17" s="29">
        <f>IF((P4-AB4-AC21)&lt;0,0,P4-AB4-AC21)</f>
        <v>2</v>
      </c>
      <c r="AE17" s="121"/>
      <c r="BC17" s="18"/>
      <c r="BD17" s="234">
        <f>firma!E9</f>
        <v>0</v>
      </c>
      <c r="BE17" s="234"/>
      <c r="BF17" s="234"/>
      <c r="BG17" s="234"/>
      <c r="BH17" s="234"/>
      <c r="BI17" s="129"/>
      <c r="BJ17" s="40"/>
      <c r="BK17" s="40"/>
      <c r="BL17" s="234">
        <f>firma!I9</f>
        <v>0</v>
      </c>
      <c r="BM17" s="234"/>
      <c r="BN17" s="234"/>
      <c r="BO17" s="234"/>
      <c r="BP17" s="234"/>
      <c r="BQ17" s="234"/>
      <c r="BR17" s="234"/>
    </row>
    <row r="18" spans="2:63" ht="6.75" customHeight="1">
      <c r="B18" s="17"/>
      <c r="C18" s="17"/>
      <c r="D18" s="300"/>
      <c r="E18" s="6"/>
      <c r="F18" s="77"/>
      <c r="G18" s="77"/>
      <c r="H18" s="9"/>
      <c r="I18" s="6"/>
      <c r="J18" s="6"/>
      <c r="K18" s="9"/>
      <c r="AE18" s="120"/>
      <c r="BC18" s="18"/>
      <c r="BJ18" s="40"/>
      <c r="BK18" s="40"/>
    </row>
    <row r="19" spans="2:70" ht="21.75" customHeight="1">
      <c r="B19" s="299" t="s">
        <v>257</v>
      </c>
      <c r="C19" s="299"/>
      <c r="D19" s="300"/>
      <c r="E19" s="161"/>
      <c r="F19" s="162"/>
      <c r="G19" s="84"/>
      <c r="H19" s="89"/>
      <c r="I19" s="87"/>
      <c r="J19" s="87"/>
      <c r="K19" s="89"/>
      <c r="L19" s="85"/>
      <c r="M19" s="85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>
        <f>K76-1</f>
        <v>0</v>
      </c>
      <c r="Z19" s="86">
        <f>IF(Y19&gt;P4,P4,Y19)</f>
        <v>0</v>
      </c>
      <c r="AA19" s="86" t="s">
        <v>76</v>
      </c>
      <c r="AB19" s="86"/>
      <c r="AC19" s="86" t="s">
        <v>263</v>
      </c>
      <c r="AD19" s="184">
        <f>IF(Z17&gt;5,IF(Z21&gt;5,1,0),0)</f>
        <v>0</v>
      </c>
      <c r="AE19" s="122">
        <f>G76*AD17</f>
        <v>660</v>
      </c>
      <c r="BC19" s="18"/>
      <c r="BD19" s="281">
        <f>firma!E11</f>
        <v>0</v>
      </c>
      <c r="BE19" s="281"/>
      <c r="BF19" s="281"/>
      <c r="BG19" s="281"/>
      <c r="BH19" s="281"/>
      <c r="BI19" s="131"/>
      <c r="BJ19" s="18"/>
      <c r="BK19" s="18"/>
      <c r="BL19" s="280">
        <f>firma!I11</f>
        <v>0</v>
      </c>
      <c r="BM19" s="280"/>
      <c r="BN19" s="280"/>
      <c r="BO19" s="280"/>
      <c r="BP19" s="280"/>
      <c r="BQ19" s="280"/>
      <c r="BR19" s="280"/>
    </row>
    <row r="20" spans="2:31" ht="6.75" customHeight="1">
      <c r="B20" s="17"/>
      <c r="C20" s="17"/>
      <c r="D20" s="17"/>
      <c r="E20" s="6"/>
      <c r="F20" s="77"/>
      <c r="G20" s="77"/>
      <c r="H20" s="9"/>
      <c r="I20" s="6"/>
      <c r="J20" s="6"/>
      <c r="K20" s="9"/>
      <c r="AE20" s="120"/>
    </row>
    <row r="21" spans="2:71" ht="21.75" customHeight="1">
      <c r="B21" s="284" t="s">
        <v>56</v>
      </c>
      <c r="C21" s="284"/>
      <c r="D21" s="284"/>
      <c r="E21" s="163"/>
      <c r="F21" s="164"/>
      <c r="G21" s="77"/>
      <c r="K21" s="9"/>
      <c r="Z21">
        <f>Z17-Z19</f>
        <v>2</v>
      </c>
      <c r="AA21" t="s">
        <v>261</v>
      </c>
      <c r="AC21">
        <f>IF(Y19&gt;0,1,0)</f>
        <v>0</v>
      </c>
      <c r="AE21" s="121">
        <f>M48*610</f>
        <v>0</v>
      </c>
      <c r="BC21" s="18" t="s">
        <v>17</v>
      </c>
      <c r="BD21" s="282">
        <f>firma!E16</f>
        <v>0</v>
      </c>
      <c r="BE21" s="282"/>
      <c r="BF21" s="282"/>
      <c r="BG21" s="282"/>
      <c r="BH21" s="282"/>
      <c r="BI21" s="58"/>
      <c r="BK21" s="42" t="s">
        <v>24</v>
      </c>
      <c r="BL21" s="234">
        <f>firma!I18</f>
        <v>0</v>
      </c>
      <c r="BM21" s="234"/>
      <c r="BN21" s="234"/>
      <c r="BO21" s="234"/>
      <c r="BP21" s="234"/>
      <c r="BQ21" s="234"/>
      <c r="BR21" s="234"/>
      <c r="BS21" s="234"/>
    </row>
    <row r="22" spans="2:63" ht="6.75" customHeight="1">
      <c r="B22" s="17"/>
      <c r="C22" s="17"/>
      <c r="D22" s="17"/>
      <c r="E22" s="6"/>
      <c r="F22" s="77"/>
      <c r="G22" s="77"/>
      <c r="H22" s="9"/>
      <c r="I22" s="6"/>
      <c r="J22" s="6"/>
      <c r="K22" s="9"/>
      <c r="AE22" s="120"/>
      <c r="BK22" s="141"/>
    </row>
    <row r="23" spans="2:71" ht="21.75" customHeight="1">
      <c r="B23" s="284" t="s">
        <v>57</v>
      </c>
      <c r="C23" s="284"/>
      <c r="D23" s="284"/>
      <c r="E23" s="163"/>
      <c r="F23" s="164"/>
      <c r="G23" s="84"/>
      <c r="H23" s="85"/>
      <c r="I23" s="86"/>
      <c r="J23" s="86"/>
      <c r="K23" s="89"/>
      <c r="L23" s="85"/>
      <c r="M23" s="85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122">
        <f>M50*1480</f>
        <v>0</v>
      </c>
      <c r="BC23" s="109" t="s">
        <v>21</v>
      </c>
      <c r="BD23" s="283">
        <f>firma!E18</f>
        <v>0</v>
      </c>
      <c r="BE23" s="283"/>
      <c r="BF23" s="283"/>
      <c r="BG23" s="283"/>
      <c r="BH23" s="283"/>
      <c r="BI23" s="130"/>
      <c r="BK23" s="142" t="s">
        <v>23</v>
      </c>
      <c r="BL23" s="293">
        <f>firma!I20</f>
        <v>0</v>
      </c>
      <c r="BM23" s="293"/>
      <c r="BN23" s="293"/>
      <c r="BO23" s="293"/>
      <c r="BP23" s="293"/>
      <c r="BQ23" s="293"/>
      <c r="BR23" s="293"/>
      <c r="BS23" s="293"/>
    </row>
    <row r="24" spans="2:71" ht="6.75" customHeight="1">
      <c r="B24" s="17"/>
      <c r="C24" s="17"/>
      <c r="D24" s="17"/>
      <c r="E24" s="6"/>
      <c r="F24" s="77"/>
      <c r="G24" s="77"/>
      <c r="H24" s="9"/>
      <c r="I24" s="6"/>
      <c r="J24" s="6"/>
      <c r="K24" s="9"/>
      <c r="AE24" s="120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</row>
    <row r="25" spans="2:71" ht="21.75" customHeight="1">
      <c r="B25" s="284" t="s">
        <v>93</v>
      </c>
      <c r="C25" s="284"/>
      <c r="D25" s="288"/>
      <c r="E25" s="285">
        <f>I40</f>
        <v>0</v>
      </c>
      <c r="F25" s="286"/>
      <c r="G25" s="286"/>
      <c r="H25" s="287"/>
      <c r="I25" s="80"/>
      <c r="AE25" s="121">
        <f>VLOOKUP(H39-1,E39:G42,3)+I39*0</f>
        <v>0</v>
      </c>
      <c r="BC25" s="108" t="s">
        <v>20</v>
      </c>
      <c r="BD25" s="281">
        <f>firma!E20</f>
        <v>0</v>
      </c>
      <c r="BE25" s="281"/>
      <c r="BF25" s="281"/>
      <c r="BG25" s="281"/>
      <c r="BH25" s="281"/>
      <c r="BI25" s="131"/>
      <c r="BJ25" s="17"/>
      <c r="BK25" s="17"/>
      <c r="BL25" s="17"/>
      <c r="BM25" s="17"/>
      <c r="BN25" s="17"/>
      <c r="BO25" s="17"/>
      <c r="BP25" s="17"/>
      <c r="BQ25" s="17"/>
      <c r="BR25" s="17"/>
      <c r="BS25" s="17"/>
    </row>
    <row r="26" spans="2:71" ht="6.75" customHeight="1">
      <c r="B26" s="17"/>
      <c r="C26" s="17"/>
      <c r="D26" s="17"/>
      <c r="E26" s="6"/>
      <c r="F26" s="77"/>
      <c r="G26" s="77"/>
      <c r="H26" s="9"/>
      <c r="I26" s="6"/>
      <c r="J26" s="6"/>
      <c r="K26" s="9"/>
      <c r="AE26" s="120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</row>
    <row r="27" spans="2:55" ht="21.75" customHeight="1">
      <c r="B27" s="284" t="s">
        <v>94</v>
      </c>
      <c r="C27" s="284"/>
      <c r="D27" s="288"/>
      <c r="E27" s="285">
        <f>I49*H48</f>
        <v>0</v>
      </c>
      <c r="F27" s="286"/>
      <c r="G27" s="286"/>
      <c r="H27" s="287"/>
      <c r="I27" s="80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122">
        <f>VLOOKUP(H48-1,E48:G52,3)</f>
        <v>0</v>
      </c>
      <c r="BC27" s="18" t="s">
        <v>30</v>
      </c>
    </row>
    <row r="28" spans="2:69" ht="6.75" customHeight="1">
      <c r="B28" s="17"/>
      <c r="C28" s="17"/>
      <c r="D28" s="17"/>
      <c r="E28" s="6"/>
      <c r="F28" s="77"/>
      <c r="G28" s="77"/>
      <c r="H28" s="9"/>
      <c r="I28" s="6"/>
      <c r="J28" s="6"/>
      <c r="K28" s="9"/>
      <c r="AE28" s="120"/>
      <c r="BC28" s="17"/>
      <c r="BD28" s="228">
        <f>firma!E24</f>
        <v>0</v>
      </c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</row>
    <row r="29" spans="2:69" ht="21.75" customHeight="1">
      <c r="B29" s="284" t="s">
        <v>95</v>
      </c>
      <c r="C29" s="284"/>
      <c r="D29" s="284"/>
      <c r="E29" s="285">
        <f>I55*H54</f>
        <v>5</v>
      </c>
      <c r="F29" s="286"/>
      <c r="G29" s="286"/>
      <c r="H29" s="287"/>
      <c r="I29" s="80"/>
      <c r="K29" s="102"/>
      <c r="L29" s="102"/>
      <c r="M29" s="102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123">
        <f>VLOOKUP(H54-1,E54:G58,3)</f>
        <v>0</v>
      </c>
      <c r="BC29" s="17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</row>
    <row r="30" spans="2:31" ht="6.75" customHeight="1">
      <c r="B30" s="17"/>
      <c r="C30" s="17"/>
      <c r="D30" s="17"/>
      <c r="E30" s="6"/>
      <c r="F30" s="77"/>
      <c r="G30" s="77"/>
      <c r="H30" s="9"/>
      <c r="I30" s="6"/>
      <c r="J30" s="6"/>
      <c r="K30" s="90"/>
      <c r="L30" s="90"/>
      <c r="M30" s="90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124"/>
    </row>
    <row r="31" spans="2:72" s="91" customFormat="1" ht="21.75" customHeight="1">
      <c r="B31" s="267" t="s">
        <v>58</v>
      </c>
      <c r="C31" s="267"/>
      <c r="D31" s="18"/>
      <c r="F31" s="92"/>
      <c r="G31" s="92"/>
      <c r="H31" s="93"/>
      <c r="K31" s="93"/>
      <c r="L31" s="93"/>
      <c r="M31" s="93"/>
      <c r="AE31" s="121">
        <f>L86</f>
        <v>0</v>
      </c>
      <c r="BA31"/>
      <c r="BB31"/>
      <c r="BT31"/>
    </row>
    <row r="32" spans="6:72" s="91" customFormat="1" ht="12.75" hidden="1">
      <c r="F32" s="92"/>
      <c r="G32" s="92"/>
      <c r="H32" s="93"/>
      <c r="K32" s="93"/>
      <c r="L32" s="93"/>
      <c r="M32" s="93"/>
      <c r="AE32" s="94"/>
      <c r="BA32"/>
      <c r="BB32"/>
      <c r="BT32"/>
    </row>
    <row r="33" spans="3:54" s="91" customFormat="1" ht="12.75" hidden="1">
      <c r="C33" s="95"/>
      <c r="D33" s="95"/>
      <c r="E33" s="95">
        <v>0</v>
      </c>
      <c r="F33" s="96" t="s">
        <v>4</v>
      </c>
      <c r="G33" s="96"/>
      <c r="H33" s="96">
        <v>1</v>
      </c>
      <c r="I33" s="95">
        <f>H33*1+H34*2+H35*4+H36*8</f>
        <v>15</v>
      </c>
      <c r="J33" s="95"/>
      <c r="K33" s="96"/>
      <c r="L33" s="96"/>
      <c r="M33" s="96" t="e">
        <f>#REF!+1</f>
        <v>#REF!</v>
      </c>
      <c r="N33" s="95"/>
      <c r="O33" s="95"/>
      <c r="P33" s="95"/>
      <c r="AE33" s="94"/>
      <c r="BB33"/>
    </row>
    <row r="34" spans="3:54" s="91" customFormat="1" ht="12.75" hidden="1">
      <c r="C34" s="95"/>
      <c r="D34" s="95"/>
      <c r="E34" s="95">
        <v>1</v>
      </c>
      <c r="F34" s="96" t="s">
        <v>59</v>
      </c>
      <c r="G34" s="96"/>
      <c r="H34" s="96">
        <v>1</v>
      </c>
      <c r="I34" s="95"/>
      <c r="J34" s="95"/>
      <c r="K34" s="96"/>
      <c r="L34" s="96"/>
      <c r="M34" s="96" t="e">
        <f>#REF!+3</f>
        <v>#REF!</v>
      </c>
      <c r="N34" s="95"/>
      <c r="O34" s="95"/>
      <c r="P34" s="95"/>
      <c r="AE34" s="94"/>
      <c r="BB34"/>
    </row>
    <row r="35" spans="3:54" s="91" customFormat="1" ht="12.75" hidden="1">
      <c r="C35" s="95"/>
      <c r="D35" s="95"/>
      <c r="E35" s="95">
        <v>2</v>
      </c>
      <c r="F35" s="96" t="s">
        <v>60</v>
      </c>
      <c r="G35" s="96">
        <v>1800</v>
      </c>
      <c r="H35" s="96">
        <v>1</v>
      </c>
      <c r="I35" s="95"/>
      <c r="J35" s="95"/>
      <c r="L35" s="96"/>
      <c r="M35" s="96"/>
      <c r="N35" s="95"/>
      <c r="O35" s="95"/>
      <c r="P35" s="95"/>
      <c r="AE35" s="94"/>
      <c r="BB35"/>
    </row>
    <row r="36" spans="3:54" s="91" customFormat="1" ht="12.75" hidden="1">
      <c r="C36" s="95"/>
      <c r="D36" s="95"/>
      <c r="E36" s="95"/>
      <c r="F36" s="96"/>
      <c r="G36" s="96">
        <v>1200</v>
      </c>
      <c r="H36" s="96">
        <v>1</v>
      </c>
      <c r="I36" s="95"/>
      <c r="J36" s="95"/>
      <c r="L36" s="96">
        <f>M36*1+M37*2</f>
        <v>2</v>
      </c>
      <c r="M36" s="96" t="b">
        <v>0</v>
      </c>
      <c r="N36" s="95"/>
      <c r="O36" s="95"/>
      <c r="P36" s="95"/>
      <c r="AE36" s="94"/>
      <c r="BB36"/>
    </row>
    <row r="37" spans="3:54" s="91" customFormat="1" ht="12.75" hidden="1">
      <c r="C37" s="95"/>
      <c r="D37" s="95"/>
      <c r="E37" s="95"/>
      <c r="F37" s="96"/>
      <c r="G37" s="96"/>
      <c r="H37" s="96"/>
      <c r="I37" s="95"/>
      <c r="J37" s="95"/>
      <c r="K37" s="96"/>
      <c r="L37" s="96"/>
      <c r="M37" s="96" t="b">
        <v>1</v>
      </c>
      <c r="N37" s="95"/>
      <c r="O37" s="95"/>
      <c r="P37" s="95"/>
      <c r="S37" s="91">
        <v>0</v>
      </c>
      <c r="T37" s="91" t="s">
        <v>111</v>
      </c>
      <c r="V37" s="91">
        <v>1</v>
      </c>
      <c r="AE37" s="94"/>
      <c r="BB37"/>
    </row>
    <row r="38" spans="3:54" s="91" customFormat="1" ht="12.75" hidden="1">
      <c r="C38" s="95"/>
      <c r="D38" s="95"/>
      <c r="E38" s="95"/>
      <c r="F38" s="95"/>
      <c r="G38" s="95"/>
      <c r="H38" s="95"/>
      <c r="I38" s="95"/>
      <c r="J38" s="95"/>
      <c r="K38" s="96"/>
      <c r="L38" s="96"/>
      <c r="M38" s="96"/>
      <c r="N38" s="95"/>
      <c r="O38" s="95"/>
      <c r="P38" s="95"/>
      <c r="S38" s="91">
        <v>1</v>
      </c>
      <c r="T38" s="91" t="s">
        <v>105</v>
      </c>
      <c r="AE38" s="94"/>
      <c r="BB38"/>
    </row>
    <row r="39" spans="3:54" s="91" customFormat="1" ht="12.75" hidden="1">
      <c r="C39" s="95"/>
      <c r="D39" s="95"/>
      <c r="E39" s="95">
        <v>0</v>
      </c>
      <c r="F39" s="96" t="s">
        <v>4</v>
      </c>
      <c r="G39" s="95"/>
      <c r="H39" s="95">
        <v>1</v>
      </c>
      <c r="I39" s="95" t="b">
        <v>0</v>
      </c>
      <c r="J39" s="95"/>
      <c r="L39" s="96">
        <v>0</v>
      </c>
      <c r="M39" s="96">
        <v>0</v>
      </c>
      <c r="N39" s="96">
        <f aca="true" t="shared" si="0" ref="N39:N46">L39*1+M39*2</f>
        <v>0</v>
      </c>
      <c r="O39" s="95"/>
      <c r="P39" s="95"/>
      <c r="S39" s="91">
        <v>2</v>
      </c>
      <c r="T39" s="91" t="s">
        <v>106</v>
      </c>
      <c r="AE39" s="94"/>
      <c r="BB39"/>
    </row>
    <row r="40" spans="3:54" s="91" customFormat="1" ht="12.75" hidden="1">
      <c r="C40" s="95"/>
      <c r="E40" s="95">
        <v>1</v>
      </c>
      <c r="F40" s="96" t="s">
        <v>81</v>
      </c>
      <c r="G40" s="96">
        <f>IF(AE31&gt;0,580,1100)</f>
        <v>1100</v>
      </c>
      <c r="H40" s="96"/>
      <c r="I40" s="95">
        <f>5*I39</f>
        <v>0</v>
      </c>
      <c r="J40" s="95"/>
      <c r="L40" s="96" t="b">
        <v>0</v>
      </c>
      <c r="M40" s="96" t="b">
        <v>0</v>
      </c>
      <c r="N40" s="96">
        <f t="shared" si="0"/>
        <v>0</v>
      </c>
      <c r="O40" s="95"/>
      <c r="P40" s="95"/>
      <c r="S40" s="91">
        <v>3</v>
      </c>
      <c r="T40" s="91" t="s">
        <v>107</v>
      </c>
      <c r="AE40" s="94"/>
      <c r="BB40"/>
    </row>
    <row r="41" spans="3:54" s="91" customFormat="1" ht="12.75" hidden="1">
      <c r="C41" s="95"/>
      <c r="E41" s="95">
        <v>2</v>
      </c>
      <c r="F41" s="96" t="s">
        <v>61</v>
      </c>
      <c r="G41" s="95">
        <v>390</v>
      </c>
      <c r="H41" s="96"/>
      <c r="I41" s="95"/>
      <c r="J41" s="95"/>
      <c r="L41" s="96" t="b">
        <v>0</v>
      </c>
      <c r="M41" s="96" t="b">
        <v>0</v>
      </c>
      <c r="N41" s="96">
        <f t="shared" si="0"/>
        <v>0</v>
      </c>
      <c r="O41" s="95"/>
      <c r="P41" s="95"/>
      <c r="S41" s="91">
        <v>4</v>
      </c>
      <c r="T41" s="91" t="s">
        <v>108</v>
      </c>
      <c r="AE41" s="94"/>
      <c r="BB41"/>
    </row>
    <row r="42" spans="3:54" s="91" customFormat="1" ht="12.75" hidden="1">
      <c r="C42" s="95"/>
      <c r="D42" s="95"/>
      <c r="E42" s="95">
        <v>3</v>
      </c>
      <c r="F42" s="96" t="s">
        <v>62</v>
      </c>
      <c r="G42" s="95">
        <v>590</v>
      </c>
      <c r="H42" s="96"/>
      <c r="I42" s="95"/>
      <c r="J42" s="95"/>
      <c r="L42" s="96" t="b">
        <v>0</v>
      </c>
      <c r="M42" s="96" t="b">
        <v>0</v>
      </c>
      <c r="N42" s="96">
        <f t="shared" si="0"/>
        <v>0</v>
      </c>
      <c r="O42" s="95"/>
      <c r="P42" s="95"/>
      <c r="S42" s="91">
        <v>5</v>
      </c>
      <c r="T42" s="91" t="s">
        <v>109</v>
      </c>
      <c r="AE42" s="94"/>
      <c r="BB42"/>
    </row>
    <row r="43" spans="3:54" s="91" customFormat="1" ht="12.75" hidden="1">
      <c r="C43" s="95"/>
      <c r="D43" s="95"/>
      <c r="E43" s="95"/>
      <c r="H43" s="96"/>
      <c r="I43" s="95"/>
      <c r="J43" s="95"/>
      <c r="L43" s="96" t="b">
        <v>0</v>
      </c>
      <c r="M43" s="96" t="b">
        <v>0</v>
      </c>
      <c r="N43" s="96">
        <f t="shared" si="0"/>
        <v>0</v>
      </c>
      <c r="O43" s="95"/>
      <c r="P43" s="95"/>
      <c r="S43" s="91">
        <v>6</v>
      </c>
      <c r="T43" s="91" t="s">
        <v>110</v>
      </c>
      <c r="AE43" s="94"/>
      <c r="BB43"/>
    </row>
    <row r="44" spans="3:54" s="91" customFormat="1" ht="12.75" hidden="1">
      <c r="C44" s="95"/>
      <c r="D44" s="95"/>
      <c r="E44" s="95">
        <v>0</v>
      </c>
      <c r="F44" s="96" t="s">
        <v>4</v>
      </c>
      <c r="G44" s="96"/>
      <c r="H44" s="96">
        <v>2</v>
      </c>
      <c r="I44" s="95" t="b">
        <v>0</v>
      </c>
      <c r="J44" s="95"/>
      <c r="L44" s="96" t="b">
        <v>0</v>
      </c>
      <c r="M44" s="96" t="b">
        <v>0</v>
      </c>
      <c r="N44" s="96">
        <f t="shared" si="0"/>
        <v>0</v>
      </c>
      <c r="O44" s="95"/>
      <c r="P44" s="95"/>
      <c r="AE44" s="94"/>
      <c r="BB44"/>
    </row>
    <row r="45" spans="3:54" s="91" customFormat="1" ht="12.75" hidden="1">
      <c r="C45" s="95"/>
      <c r="D45" s="95"/>
      <c r="E45" s="95">
        <v>1</v>
      </c>
      <c r="F45" s="96" t="s">
        <v>63</v>
      </c>
      <c r="G45" s="96">
        <v>1100</v>
      </c>
      <c r="H45" s="96"/>
      <c r="I45" s="95">
        <f>I44*5</f>
        <v>0</v>
      </c>
      <c r="J45" s="95"/>
      <c r="L45" s="96" t="b">
        <v>0</v>
      </c>
      <c r="M45" s="96" t="b">
        <v>0</v>
      </c>
      <c r="N45" s="96">
        <f t="shared" si="0"/>
        <v>0</v>
      </c>
      <c r="O45" s="95"/>
      <c r="P45" s="95"/>
      <c r="AE45" s="94"/>
      <c r="BB45"/>
    </row>
    <row r="46" spans="3:54" s="91" customFormat="1" ht="12.75" hidden="1">
      <c r="C46" s="95"/>
      <c r="D46" s="95"/>
      <c r="E46" s="95"/>
      <c r="F46" s="96"/>
      <c r="G46" s="96"/>
      <c r="H46" s="96"/>
      <c r="I46" s="95"/>
      <c r="J46" s="95"/>
      <c r="L46" s="96" t="b">
        <v>0</v>
      </c>
      <c r="M46" s="96" t="b">
        <v>0</v>
      </c>
      <c r="N46" s="96">
        <f t="shared" si="0"/>
        <v>0</v>
      </c>
      <c r="O46" s="95"/>
      <c r="P46" s="95"/>
      <c r="S46" s="91">
        <v>0</v>
      </c>
      <c r="T46" s="91" t="s">
        <v>156</v>
      </c>
      <c r="Y46" s="91">
        <v>1</v>
      </c>
      <c r="AE46" s="94"/>
      <c r="BB46"/>
    </row>
    <row r="47" spans="3:54" s="91" customFormat="1" ht="12.75" hidden="1">
      <c r="C47" s="95"/>
      <c r="D47" s="95"/>
      <c r="E47" s="95"/>
      <c r="F47" s="96"/>
      <c r="G47" s="96"/>
      <c r="H47" s="96"/>
      <c r="I47" s="95"/>
      <c r="J47" s="95"/>
      <c r="K47" s="96"/>
      <c r="L47" s="96"/>
      <c r="M47" s="96"/>
      <c r="N47" s="95"/>
      <c r="O47" s="95"/>
      <c r="P47" s="95"/>
      <c r="S47" s="91">
        <v>1</v>
      </c>
      <c r="T47" s="91" t="s">
        <v>157</v>
      </c>
      <c r="Y47" s="91">
        <v>1</v>
      </c>
      <c r="AE47" s="94"/>
      <c r="BB47"/>
    </row>
    <row r="48" spans="3:54" s="91" customFormat="1" ht="12.75" hidden="1">
      <c r="C48" s="95"/>
      <c r="D48" s="95"/>
      <c r="E48" s="95">
        <v>0</v>
      </c>
      <c r="F48" s="96" t="s">
        <v>269</v>
      </c>
      <c r="G48" s="96"/>
      <c r="H48" s="96">
        <v>1</v>
      </c>
      <c r="I48" s="95" t="b">
        <v>1</v>
      </c>
      <c r="J48" s="95"/>
      <c r="K48" s="96"/>
      <c r="L48" s="96"/>
      <c r="M48" s="96" t="b">
        <v>0</v>
      </c>
      <c r="N48" s="95"/>
      <c r="O48" s="95"/>
      <c r="P48" s="95"/>
      <c r="S48" s="91">
        <v>2</v>
      </c>
      <c r="T48" s="91" t="s">
        <v>158</v>
      </c>
      <c r="Y48" s="91">
        <v>1</v>
      </c>
      <c r="AE48" s="94"/>
      <c r="BB48"/>
    </row>
    <row r="49" spans="3:54" s="91" customFormat="1" ht="12.75" hidden="1">
      <c r="C49" s="95"/>
      <c r="E49" s="95">
        <v>1</v>
      </c>
      <c r="F49" s="96" t="s">
        <v>64</v>
      </c>
      <c r="G49" s="96">
        <v>720</v>
      </c>
      <c r="H49" s="95"/>
      <c r="I49" s="95">
        <f>I48*1-1</f>
        <v>0</v>
      </c>
      <c r="J49" s="95"/>
      <c r="L49" s="96"/>
      <c r="M49" s="96"/>
      <c r="N49" s="95"/>
      <c r="O49" s="95"/>
      <c r="P49" s="95"/>
      <c r="S49" s="91">
        <v>3</v>
      </c>
      <c r="T49" s="91" t="s">
        <v>159</v>
      </c>
      <c r="Y49" s="91">
        <v>1</v>
      </c>
      <c r="AE49" s="94"/>
      <c r="BB49"/>
    </row>
    <row r="50" spans="3:32" ht="12.75" hidden="1">
      <c r="C50" s="95"/>
      <c r="D50" s="91"/>
      <c r="E50" s="95">
        <v>2</v>
      </c>
      <c r="F50" s="96" t="s">
        <v>65</v>
      </c>
      <c r="G50" s="96">
        <v>1080</v>
      </c>
      <c r="H50" s="96"/>
      <c r="I50" s="95"/>
      <c r="J50" s="95"/>
      <c r="K50" s="93"/>
      <c r="L50" s="96"/>
      <c r="M50" s="183" t="b">
        <v>0</v>
      </c>
      <c r="N50" s="95"/>
      <c r="O50" s="95"/>
      <c r="P50" s="95"/>
      <c r="Q50" s="91"/>
      <c r="R50" s="91"/>
      <c r="S50" s="91">
        <v>4</v>
      </c>
      <c r="T50" s="91" t="s">
        <v>160</v>
      </c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4"/>
      <c r="AF50" s="91"/>
    </row>
    <row r="51" spans="3:32" ht="12.75" hidden="1">
      <c r="C51" s="95"/>
      <c r="D51" s="91"/>
      <c r="E51" s="95">
        <v>3</v>
      </c>
      <c r="F51" s="96" t="s">
        <v>66</v>
      </c>
      <c r="G51" s="96">
        <v>1800</v>
      </c>
      <c r="H51" s="96"/>
      <c r="I51" s="95"/>
      <c r="J51" s="95"/>
      <c r="K51" s="93"/>
      <c r="L51" s="96"/>
      <c r="M51" s="96"/>
      <c r="N51" s="95"/>
      <c r="O51" s="95"/>
      <c r="P51" s="95"/>
      <c r="Q51" s="91"/>
      <c r="R51" s="91"/>
      <c r="S51" s="91">
        <v>5</v>
      </c>
      <c r="T51" s="91" t="s">
        <v>161</v>
      </c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4"/>
      <c r="AF51" s="91"/>
    </row>
    <row r="52" spans="3:32" ht="12.75" hidden="1">
      <c r="C52" s="95"/>
      <c r="D52" s="91"/>
      <c r="E52" s="95">
        <v>4</v>
      </c>
      <c r="F52" s="96" t="s">
        <v>67</v>
      </c>
      <c r="G52" s="96">
        <v>3600</v>
      </c>
      <c r="H52" s="96"/>
      <c r="I52" s="95"/>
      <c r="J52" s="95"/>
      <c r="K52" s="93"/>
      <c r="L52" s="96"/>
      <c r="M52" s="96" t="b">
        <v>1</v>
      </c>
      <c r="N52" s="95"/>
      <c r="O52" s="95"/>
      <c r="P52" s="95"/>
      <c r="Q52" s="91"/>
      <c r="R52" s="91"/>
      <c r="S52" s="91">
        <v>6</v>
      </c>
      <c r="T52" s="91" t="s">
        <v>162</v>
      </c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4"/>
      <c r="AF52" s="91"/>
    </row>
    <row r="53" spans="3:32" ht="12.75" hidden="1">
      <c r="C53" s="95"/>
      <c r="D53" s="95"/>
      <c r="E53" s="95"/>
      <c r="F53" s="96"/>
      <c r="G53" s="96"/>
      <c r="H53" s="96"/>
      <c r="I53" s="95"/>
      <c r="J53" s="95"/>
      <c r="K53" s="96"/>
      <c r="L53" s="96"/>
      <c r="M53" s="96"/>
      <c r="N53" s="95"/>
      <c r="O53" s="95"/>
      <c r="P53" s="95"/>
      <c r="Q53" s="91"/>
      <c r="R53" s="91"/>
      <c r="S53" s="91">
        <v>7</v>
      </c>
      <c r="T53" s="91" t="s">
        <v>163</v>
      </c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4"/>
      <c r="AF53" s="91"/>
    </row>
    <row r="54" spans="3:32" ht="12.75" hidden="1">
      <c r="C54" s="95"/>
      <c r="D54" s="95"/>
      <c r="E54" s="95">
        <v>0</v>
      </c>
      <c r="F54" s="96"/>
      <c r="G54" s="96"/>
      <c r="H54" s="96">
        <v>1</v>
      </c>
      <c r="I54" s="95" t="b">
        <v>1</v>
      </c>
      <c r="J54" s="95"/>
      <c r="K54" s="96"/>
      <c r="L54" s="96"/>
      <c r="M54" s="96"/>
      <c r="N54" s="95"/>
      <c r="O54" s="95"/>
      <c r="P54" s="95"/>
      <c r="Q54" s="91"/>
      <c r="R54" s="91"/>
      <c r="S54" s="91">
        <v>8</v>
      </c>
      <c r="T54" s="91" t="s">
        <v>148</v>
      </c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4"/>
      <c r="AF54" s="91"/>
    </row>
    <row r="55" spans="3:32" ht="12.75" hidden="1">
      <c r="C55" s="95"/>
      <c r="D55" s="91"/>
      <c r="E55" s="95">
        <v>1</v>
      </c>
      <c r="F55" s="96" t="s">
        <v>68</v>
      </c>
      <c r="G55" s="113">
        <v>84</v>
      </c>
      <c r="H55" s="96"/>
      <c r="I55" s="95">
        <f>I54*5</f>
        <v>5</v>
      </c>
      <c r="J55" s="95"/>
      <c r="K55" s="93"/>
      <c r="L55" s="96"/>
      <c r="M55" s="96"/>
      <c r="N55" s="95"/>
      <c r="O55" s="95"/>
      <c r="P55" s="95"/>
      <c r="Q55" s="91"/>
      <c r="R55" s="91"/>
      <c r="S55" s="91">
        <v>9</v>
      </c>
      <c r="T55" s="91" t="s">
        <v>164</v>
      </c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4"/>
      <c r="AF55" s="91"/>
    </row>
    <row r="56" spans="3:32" ht="12.75" hidden="1">
      <c r="C56" s="95"/>
      <c r="D56" s="91"/>
      <c r="E56" s="95">
        <v>2</v>
      </c>
      <c r="F56" s="96" t="s">
        <v>69</v>
      </c>
      <c r="G56" s="95">
        <v>96</v>
      </c>
      <c r="H56" s="96"/>
      <c r="I56" s="95"/>
      <c r="J56" s="95"/>
      <c r="K56" s="93"/>
      <c r="L56" s="95"/>
      <c r="M56" s="95"/>
      <c r="N56" s="95"/>
      <c r="O56" s="95"/>
      <c r="P56" s="95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4"/>
      <c r="AF56" s="91"/>
    </row>
    <row r="57" spans="3:32" ht="12.75" hidden="1">
      <c r="C57" s="95"/>
      <c r="D57" s="91"/>
      <c r="E57" s="95">
        <v>3</v>
      </c>
      <c r="F57" s="96" t="s">
        <v>70</v>
      </c>
      <c r="G57" s="95">
        <v>144</v>
      </c>
      <c r="H57" s="96"/>
      <c r="I57" s="95"/>
      <c r="J57" s="95"/>
      <c r="K57" s="93"/>
      <c r="L57" s="95"/>
      <c r="M57" s="95"/>
      <c r="N57" s="95"/>
      <c r="O57" s="95"/>
      <c r="P57" s="95"/>
      <c r="Q57" s="91"/>
      <c r="R57" s="91"/>
      <c r="S57" s="91">
        <v>0</v>
      </c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4"/>
      <c r="AF57" s="91"/>
    </row>
    <row r="58" spans="3:32" ht="12.75" hidden="1">
      <c r="C58" s="95"/>
      <c r="D58" s="91"/>
      <c r="E58" s="95">
        <v>4</v>
      </c>
      <c r="F58" s="96" t="s">
        <v>71</v>
      </c>
      <c r="G58" s="95">
        <v>228</v>
      </c>
      <c r="H58" s="96"/>
      <c r="I58" s="95"/>
      <c r="J58" s="95"/>
      <c r="K58" s="93"/>
      <c r="L58" s="95"/>
      <c r="M58" s="95"/>
      <c r="N58" s="95"/>
      <c r="O58" s="95"/>
      <c r="P58" s="95"/>
      <c r="Q58" s="91"/>
      <c r="R58" s="91"/>
      <c r="S58" s="91">
        <v>1</v>
      </c>
      <c r="T58" s="91" t="s">
        <v>125</v>
      </c>
      <c r="U58" s="91"/>
      <c r="V58" s="91"/>
      <c r="W58" s="91"/>
      <c r="X58" s="91"/>
      <c r="Y58" s="91">
        <v>1</v>
      </c>
      <c r="Z58" s="91"/>
      <c r="AA58" s="91"/>
      <c r="AB58" s="91"/>
      <c r="AC58" s="91"/>
      <c r="AD58" s="91"/>
      <c r="AE58" s="94"/>
      <c r="AF58" s="91"/>
    </row>
    <row r="59" spans="3:32" ht="12.75" hidden="1">
      <c r="C59" s="95"/>
      <c r="D59" s="95"/>
      <c r="E59" s="95"/>
      <c r="F59" s="96"/>
      <c r="G59" s="96"/>
      <c r="H59" s="96"/>
      <c r="I59" s="95"/>
      <c r="J59" s="95"/>
      <c r="K59" s="95"/>
      <c r="L59" s="95"/>
      <c r="M59" s="95"/>
      <c r="N59" s="95"/>
      <c r="O59" s="95"/>
      <c r="P59" s="95"/>
      <c r="Q59" s="91"/>
      <c r="R59" s="91"/>
      <c r="S59" s="91">
        <v>2</v>
      </c>
      <c r="T59" s="91" t="s">
        <v>126</v>
      </c>
      <c r="U59" s="91"/>
      <c r="V59" s="91"/>
      <c r="W59" s="91"/>
      <c r="X59" s="91"/>
      <c r="Y59" s="91">
        <v>1</v>
      </c>
      <c r="Z59" s="91"/>
      <c r="AA59" s="91"/>
      <c r="AB59" s="91"/>
      <c r="AC59" s="91"/>
      <c r="AD59" s="91"/>
      <c r="AE59" s="94"/>
      <c r="AF59" s="91"/>
    </row>
    <row r="60" spans="3:32" ht="12.75" hidden="1">
      <c r="C60" s="91"/>
      <c r="D60" s="91"/>
      <c r="E60" s="91"/>
      <c r="F60" s="92"/>
      <c r="G60" s="92"/>
      <c r="H60" s="93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>
        <v>3</v>
      </c>
      <c r="T60" s="91" t="s">
        <v>127</v>
      </c>
      <c r="U60" s="91"/>
      <c r="V60" s="91"/>
      <c r="W60" s="91"/>
      <c r="X60" s="91"/>
      <c r="Y60" s="91">
        <v>1</v>
      </c>
      <c r="Z60" s="91"/>
      <c r="AA60" s="91"/>
      <c r="AB60" s="91"/>
      <c r="AC60" s="91"/>
      <c r="AD60" s="91"/>
      <c r="AE60" s="94"/>
      <c r="AF60" s="91"/>
    </row>
    <row r="61" spans="3:32" ht="12.75" hidden="1">
      <c r="C61" s="91"/>
      <c r="D61" s="91"/>
      <c r="E61" s="95">
        <v>0</v>
      </c>
      <c r="F61" s="96" t="s">
        <v>4</v>
      </c>
      <c r="G61" s="96"/>
      <c r="H61" s="96">
        <v>1</v>
      </c>
      <c r="I61" s="95"/>
      <c r="J61" s="95"/>
      <c r="K61" s="95"/>
      <c r="L61" s="95"/>
      <c r="M61" s="91"/>
      <c r="N61" s="91"/>
      <c r="O61" s="91"/>
      <c r="P61" s="91"/>
      <c r="Q61" s="91"/>
      <c r="R61" s="91"/>
      <c r="S61" s="91">
        <v>4</v>
      </c>
      <c r="T61" s="91" t="s">
        <v>128</v>
      </c>
      <c r="U61" s="91"/>
      <c r="V61" s="91"/>
      <c r="W61" s="91"/>
      <c r="X61" s="91"/>
      <c r="Y61" s="91">
        <v>1</v>
      </c>
      <c r="Z61" s="91"/>
      <c r="AA61" s="91"/>
      <c r="AB61" s="91"/>
      <c r="AC61" s="91"/>
      <c r="AD61" s="91"/>
      <c r="AE61" s="94"/>
      <c r="AF61" s="91"/>
    </row>
    <row r="62" spans="3:32" ht="12.75" hidden="1">
      <c r="C62" s="91"/>
      <c r="D62" s="91"/>
      <c r="E62" s="95">
        <v>1</v>
      </c>
      <c r="F62" s="96" t="s">
        <v>72</v>
      </c>
      <c r="G62" s="95">
        <v>360</v>
      </c>
      <c r="H62" s="96"/>
      <c r="I62" s="95"/>
      <c r="J62" s="95"/>
      <c r="K62" s="93"/>
      <c r="L62" s="95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4"/>
      <c r="AF62" s="91"/>
    </row>
    <row r="63" spans="3:32" ht="12.75" hidden="1">
      <c r="C63" s="91"/>
      <c r="D63" s="91"/>
      <c r="E63" s="95">
        <v>2</v>
      </c>
      <c r="F63" s="96" t="s">
        <v>73</v>
      </c>
      <c r="G63" s="95">
        <v>410</v>
      </c>
      <c r="H63" s="96"/>
      <c r="I63" s="95"/>
      <c r="J63" s="95"/>
      <c r="K63" s="93"/>
      <c r="L63" s="95"/>
      <c r="M63" s="91"/>
      <c r="N63" s="91"/>
      <c r="O63" s="91"/>
      <c r="P63" s="91"/>
      <c r="Q63" s="91"/>
      <c r="R63" s="91"/>
      <c r="S63" s="91">
        <v>0</v>
      </c>
      <c r="T63" s="91" t="s">
        <v>138</v>
      </c>
      <c r="U63" s="91"/>
      <c r="V63" s="91"/>
      <c r="W63" s="91"/>
      <c r="X63" s="91"/>
      <c r="Y63" s="91">
        <v>1</v>
      </c>
      <c r="Z63" s="91"/>
      <c r="AA63" s="91"/>
      <c r="AB63" s="91"/>
      <c r="AC63" s="91"/>
      <c r="AD63" s="91"/>
      <c r="AE63" s="94"/>
      <c r="AF63" s="91"/>
    </row>
    <row r="64" spans="3:32" ht="12.75" hidden="1">
      <c r="C64" s="91"/>
      <c r="D64" s="91"/>
      <c r="E64" s="91"/>
      <c r="F64" s="92"/>
      <c r="G64" s="92"/>
      <c r="H64" s="93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>
        <v>1</v>
      </c>
      <c r="T64" s="91" t="s">
        <v>139</v>
      </c>
      <c r="U64" s="91"/>
      <c r="V64" s="91"/>
      <c r="W64" s="91"/>
      <c r="X64" s="91"/>
      <c r="Y64" s="91">
        <v>1</v>
      </c>
      <c r="Z64" s="91"/>
      <c r="AA64" s="91"/>
      <c r="AB64" s="91"/>
      <c r="AC64" s="91"/>
      <c r="AD64" s="91"/>
      <c r="AE64" s="94"/>
      <c r="AF64" s="91"/>
    </row>
    <row r="65" spans="3:32" ht="12.75" hidden="1">
      <c r="C65" s="91"/>
      <c r="D65" s="91"/>
      <c r="E65" s="91"/>
      <c r="F65" s="92"/>
      <c r="G65" s="92"/>
      <c r="H65" s="93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>
        <v>2</v>
      </c>
      <c r="T65" s="91" t="s">
        <v>140</v>
      </c>
      <c r="U65" s="91"/>
      <c r="V65" s="91"/>
      <c r="W65" s="91"/>
      <c r="X65" s="91"/>
      <c r="Y65" s="91">
        <v>1</v>
      </c>
      <c r="Z65" s="91"/>
      <c r="AA65" s="91"/>
      <c r="AB65" s="91"/>
      <c r="AC65" s="91"/>
      <c r="AD65" s="91"/>
      <c r="AE65" s="94"/>
      <c r="AF65" s="91"/>
    </row>
    <row r="66" spans="3:32" ht="12.75" hidden="1">
      <c r="C66" s="91"/>
      <c r="D66" s="91"/>
      <c r="E66" s="95">
        <v>0</v>
      </c>
      <c r="F66" s="92" t="s">
        <v>74</v>
      </c>
      <c r="G66" s="92"/>
      <c r="H66" s="93">
        <v>1</v>
      </c>
      <c r="I66" s="91"/>
      <c r="J66" s="91"/>
      <c r="K66" s="91">
        <v>1</v>
      </c>
      <c r="L66" s="91"/>
      <c r="M66" s="91"/>
      <c r="N66" s="91"/>
      <c r="O66" s="91"/>
      <c r="P66" s="91"/>
      <c r="Q66" s="91"/>
      <c r="R66" s="91"/>
      <c r="S66" s="91">
        <v>3</v>
      </c>
      <c r="T66" s="91" t="s">
        <v>141</v>
      </c>
      <c r="U66" s="91"/>
      <c r="V66" s="91"/>
      <c r="W66" s="91"/>
      <c r="X66" s="91"/>
      <c r="Y66" s="91">
        <v>1</v>
      </c>
      <c r="Z66" s="91"/>
      <c r="AA66" s="91"/>
      <c r="AB66" s="91"/>
      <c r="AC66" s="91"/>
      <c r="AD66" s="91"/>
      <c r="AE66" s="94"/>
      <c r="AF66" s="91"/>
    </row>
    <row r="67" spans="3:32" ht="12.75" hidden="1">
      <c r="C67" s="91"/>
      <c r="D67" s="91"/>
      <c r="E67" s="95">
        <v>1</v>
      </c>
      <c r="F67" s="92" t="s">
        <v>75</v>
      </c>
      <c r="G67" s="92"/>
      <c r="H67" s="93">
        <v>1</v>
      </c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>
        <v>4</v>
      </c>
      <c r="T67" s="91" t="s">
        <v>142</v>
      </c>
      <c r="U67" s="91"/>
      <c r="V67" s="91"/>
      <c r="W67" s="91"/>
      <c r="X67" s="91"/>
      <c r="Y67" s="91">
        <v>1</v>
      </c>
      <c r="Z67" s="91"/>
      <c r="AA67" s="91"/>
      <c r="AB67" s="91"/>
      <c r="AC67" s="91"/>
      <c r="AD67" s="91"/>
      <c r="AE67" s="94"/>
      <c r="AF67" s="91"/>
    </row>
    <row r="68" spans="3:32" ht="12.75" hidden="1">
      <c r="C68" s="91"/>
      <c r="D68" s="91"/>
      <c r="E68" s="95">
        <v>2</v>
      </c>
      <c r="F68" s="92" t="s">
        <v>76</v>
      </c>
      <c r="G68" s="92"/>
      <c r="H68" s="93">
        <v>1</v>
      </c>
      <c r="I68" s="91"/>
      <c r="J68" s="91"/>
      <c r="K68" s="185">
        <f>IF(K76-1&gt;0,H76+1,H76)</f>
        <v>1</v>
      </c>
      <c r="L68" s="91"/>
      <c r="M68" s="91"/>
      <c r="N68" s="91"/>
      <c r="O68" s="91"/>
      <c r="P68" s="91"/>
      <c r="Q68" s="91"/>
      <c r="R68" s="91"/>
      <c r="S68" s="91">
        <v>5</v>
      </c>
      <c r="T68" s="91" t="s">
        <v>143</v>
      </c>
      <c r="U68" s="91"/>
      <c r="V68" s="91"/>
      <c r="W68" s="91"/>
      <c r="X68" s="91"/>
      <c r="Y68" s="91">
        <v>1</v>
      </c>
      <c r="Z68" s="91"/>
      <c r="AA68" s="91"/>
      <c r="AB68" s="91"/>
      <c r="AC68" s="91"/>
      <c r="AD68" s="91"/>
      <c r="AE68" s="94"/>
      <c r="AF68" s="91"/>
    </row>
    <row r="69" spans="3:32" ht="12.75" hidden="1">
      <c r="C69" s="91"/>
      <c r="D69" s="91"/>
      <c r="E69" s="91"/>
      <c r="F69" s="92"/>
      <c r="G69" s="92"/>
      <c r="H69" s="93">
        <v>1</v>
      </c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>
        <v>6</v>
      </c>
      <c r="T69" s="91" t="s">
        <v>144</v>
      </c>
      <c r="U69" s="91"/>
      <c r="V69" s="91"/>
      <c r="W69" s="91"/>
      <c r="X69" s="91"/>
      <c r="Y69" s="91">
        <v>1</v>
      </c>
      <c r="Z69" s="91"/>
      <c r="AA69" s="91"/>
      <c r="AB69" s="91"/>
      <c r="AC69" s="91"/>
      <c r="AD69" s="91"/>
      <c r="AE69" s="94"/>
      <c r="AF69" s="91"/>
    </row>
    <row r="70" spans="3:32" ht="12.75" hidden="1">
      <c r="C70" s="91"/>
      <c r="D70" s="91"/>
      <c r="E70" s="91"/>
      <c r="F70" s="92"/>
      <c r="G70" s="92"/>
      <c r="H70" s="93">
        <v>1</v>
      </c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>
        <v>7</v>
      </c>
      <c r="T70" s="91" t="s">
        <v>151</v>
      </c>
      <c r="U70" s="91"/>
      <c r="V70" s="91"/>
      <c r="W70" s="91"/>
      <c r="X70" s="91"/>
      <c r="Y70" s="91">
        <v>1</v>
      </c>
      <c r="Z70" s="91"/>
      <c r="AA70" s="91"/>
      <c r="AB70" s="91"/>
      <c r="AC70" s="91"/>
      <c r="AD70" s="91"/>
      <c r="AE70" s="94"/>
      <c r="AF70" s="91"/>
    </row>
    <row r="71" spans="3:32" ht="12.75" hidden="1">
      <c r="C71" s="91"/>
      <c r="D71" s="91"/>
      <c r="E71" s="91"/>
      <c r="F71" s="92"/>
      <c r="G71" s="92"/>
      <c r="H71" s="93">
        <v>1</v>
      </c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>
        <v>8</v>
      </c>
      <c r="T71" s="91" t="s">
        <v>145</v>
      </c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4"/>
      <c r="AF71" s="91"/>
    </row>
    <row r="72" spans="3:32" ht="12.75" hidden="1">
      <c r="C72" s="91"/>
      <c r="D72" s="91"/>
      <c r="E72" s="91"/>
      <c r="F72" s="92"/>
      <c r="G72" s="92"/>
      <c r="H72" s="93">
        <v>1</v>
      </c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>
        <v>9</v>
      </c>
      <c r="T72" s="91" t="s">
        <v>146</v>
      </c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4"/>
      <c r="AF72" s="91"/>
    </row>
    <row r="73" spans="3:32" ht="12.75" hidden="1">
      <c r="C73" s="91"/>
      <c r="D73" s="91"/>
      <c r="E73" s="91"/>
      <c r="F73" s="92"/>
      <c r="G73" s="92"/>
      <c r="H73" s="93">
        <v>1</v>
      </c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>
        <v>10</v>
      </c>
      <c r="T73" s="91" t="s">
        <v>112</v>
      </c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4"/>
      <c r="AF73" s="91"/>
    </row>
    <row r="74" spans="3:32" ht="12.75" hidden="1">
      <c r="C74" s="91"/>
      <c r="D74" s="91"/>
      <c r="E74" s="91"/>
      <c r="F74" s="92"/>
      <c r="G74" s="92"/>
      <c r="H74" s="93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>
        <v>11</v>
      </c>
      <c r="T74" s="91" t="s">
        <v>147</v>
      </c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4"/>
      <c r="AF74" s="91"/>
    </row>
    <row r="75" spans="3:32" ht="12.75" hidden="1">
      <c r="C75" s="91"/>
      <c r="D75" s="91"/>
      <c r="E75" s="91"/>
      <c r="F75" s="92"/>
      <c r="G75" s="92"/>
      <c r="H75" s="93"/>
      <c r="I75" s="91"/>
      <c r="J75" s="91"/>
      <c r="K75" s="93"/>
      <c r="L75" s="93"/>
      <c r="M75" s="93"/>
      <c r="N75" s="91"/>
      <c r="O75" s="91"/>
      <c r="P75" s="91"/>
      <c r="Q75" s="91"/>
      <c r="R75" s="91"/>
      <c r="S75" s="91">
        <v>12</v>
      </c>
      <c r="T75" s="91" t="s">
        <v>148</v>
      </c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4"/>
      <c r="AF75" s="91"/>
    </row>
    <row r="76" spans="3:32" ht="12.75" hidden="1">
      <c r="C76" s="91"/>
      <c r="D76" s="91"/>
      <c r="E76" s="91">
        <v>1</v>
      </c>
      <c r="F76" s="92">
        <v>1</v>
      </c>
      <c r="G76" s="92">
        <v>330</v>
      </c>
      <c r="H76" s="93">
        <v>1</v>
      </c>
      <c r="I76" s="91"/>
      <c r="J76" s="91"/>
      <c r="K76" s="93">
        <v>1</v>
      </c>
      <c r="L76" s="93"/>
      <c r="M76" s="93"/>
      <c r="N76" s="91"/>
      <c r="O76" s="91"/>
      <c r="P76" s="91"/>
      <c r="Q76" s="91"/>
      <c r="R76" s="91"/>
      <c r="S76" s="91">
        <v>13</v>
      </c>
      <c r="T76" s="91" t="s">
        <v>149</v>
      </c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4"/>
      <c r="AF76" s="91"/>
    </row>
    <row r="77" spans="3:32" ht="12.75" hidden="1">
      <c r="C77" s="91"/>
      <c r="D77" s="91"/>
      <c r="E77" s="91">
        <v>2</v>
      </c>
      <c r="F77" s="92">
        <v>2</v>
      </c>
      <c r="G77" s="92"/>
      <c r="H77" s="93">
        <f>IF(H76=5,1,0)</f>
        <v>0</v>
      </c>
      <c r="I77" s="91"/>
      <c r="J77" s="91"/>
      <c r="K77" s="93">
        <f>IF(AB4&lt;5,0,H77)</f>
        <v>0</v>
      </c>
      <c r="L77" s="93"/>
      <c r="M77" s="93"/>
      <c r="N77" s="91"/>
      <c r="O77" s="91"/>
      <c r="P77" s="91"/>
      <c r="Q77" s="91"/>
      <c r="R77" s="91"/>
      <c r="S77" s="91">
        <v>15</v>
      </c>
      <c r="T77" s="91" t="s">
        <v>150</v>
      </c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4"/>
      <c r="AF77" s="91"/>
    </row>
    <row r="78" spans="3:32" ht="12.75" hidden="1">
      <c r="C78" s="91"/>
      <c r="D78" s="91"/>
      <c r="E78" s="91">
        <v>3</v>
      </c>
      <c r="F78" s="92">
        <v>3</v>
      </c>
      <c r="G78" s="92"/>
      <c r="H78" s="93"/>
      <c r="I78" s="91"/>
      <c r="J78" s="91"/>
      <c r="K78" s="93"/>
      <c r="L78" s="93"/>
      <c r="M78" s="93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4"/>
      <c r="AF78" s="91"/>
    </row>
    <row r="79" spans="3:32" ht="12.75" hidden="1">
      <c r="C79" s="91"/>
      <c r="D79" s="91"/>
      <c r="E79" s="91">
        <v>4</v>
      </c>
      <c r="F79" s="92">
        <v>4</v>
      </c>
      <c r="G79" s="92"/>
      <c r="H79" s="93"/>
      <c r="I79" s="91"/>
      <c r="J79" s="91"/>
      <c r="K79" s="93"/>
      <c r="L79" s="93"/>
      <c r="M79" s="93"/>
      <c r="N79" s="91"/>
      <c r="O79" s="91"/>
      <c r="P79" s="91"/>
      <c r="Q79" s="91">
        <v>1</v>
      </c>
      <c r="R79" s="91">
        <v>1</v>
      </c>
      <c r="S79" s="91">
        <v>1</v>
      </c>
      <c r="T79" s="91" t="s">
        <v>154</v>
      </c>
      <c r="U79" s="91"/>
      <c r="V79" s="91"/>
      <c r="W79" s="91"/>
      <c r="X79" s="91"/>
      <c r="Y79" s="138">
        <v>1</v>
      </c>
      <c r="Z79" s="91"/>
      <c r="AA79" s="91"/>
      <c r="AB79" s="91"/>
      <c r="AC79" s="91"/>
      <c r="AD79" s="91"/>
      <c r="AE79" s="94"/>
      <c r="AF79" s="91"/>
    </row>
    <row r="80" spans="3:32" ht="12.75" hidden="1">
      <c r="C80" s="91"/>
      <c r="D80" s="91"/>
      <c r="E80" s="91">
        <v>5</v>
      </c>
      <c r="F80" s="92">
        <v>5</v>
      </c>
      <c r="G80" s="92"/>
      <c r="H80" s="93"/>
      <c r="I80" s="91"/>
      <c r="J80" s="91"/>
      <c r="K80" s="93"/>
      <c r="L80" s="93"/>
      <c r="M80" s="93"/>
      <c r="N80" s="91"/>
      <c r="O80" s="91"/>
      <c r="P80" s="91"/>
      <c r="Q80" s="91">
        <v>1</v>
      </c>
      <c r="R80" s="91">
        <v>1</v>
      </c>
      <c r="S80" s="91">
        <v>2</v>
      </c>
      <c r="T80" s="91" t="s">
        <v>155</v>
      </c>
      <c r="U80" s="91"/>
      <c r="V80" s="91"/>
      <c r="W80" s="91"/>
      <c r="X80" s="91"/>
      <c r="Y80" s="138">
        <v>1</v>
      </c>
      <c r="Z80" s="91"/>
      <c r="AA80" s="91"/>
      <c r="AB80" s="91"/>
      <c r="AC80" s="91"/>
      <c r="AD80" s="91"/>
      <c r="AE80" s="94"/>
      <c r="AF80" s="91"/>
    </row>
    <row r="81" spans="3:32" ht="12.75" hidden="1">
      <c r="C81" s="91"/>
      <c r="D81" s="91"/>
      <c r="E81" s="91">
        <v>6</v>
      </c>
      <c r="F81" s="92">
        <v>6</v>
      </c>
      <c r="G81" s="92"/>
      <c r="H81" s="93"/>
      <c r="I81" s="91"/>
      <c r="J81" s="91"/>
      <c r="K81" s="93"/>
      <c r="L81" s="93"/>
      <c r="M81" s="93"/>
      <c r="N81" s="91"/>
      <c r="O81" s="91"/>
      <c r="P81" s="91"/>
      <c r="Q81" s="91">
        <v>1</v>
      </c>
      <c r="R81" s="91">
        <v>1</v>
      </c>
      <c r="S81" s="91"/>
      <c r="T81" s="91"/>
      <c r="U81" s="91"/>
      <c r="V81" s="91"/>
      <c r="W81" s="91"/>
      <c r="X81" s="91"/>
      <c r="Y81" s="138">
        <v>1</v>
      </c>
      <c r="Z81" s="91"/>
      <c r="AA81" s="91"/>
      <c r="AB81" s="91"/>
      <c r="AC81" s="91"/>
      <c r="AD81" s="91"/>
      <c r="AE81" s="94"/>
      <c r="AF81" s="91"/>
    </row>
    <row r="82" spans="3:32" ht="12.75" hidden="1">
      <c r="C82" s="91"/>
      <c r="D82" s="91"/>
      <c r="E82" s="91">
        <v>7</v>
      </c>
      <c r="F82" s="92">
        <v>7</v>
      </c>
      <c r="G82" s="92"/>
      <c r="H82" s="93"/>
      <c r="I82" s="91"/>
      <c r="J82" s="91"/>
      <c r="K82" s="93"/>
      <c r="L82" s="93"/>
      <c r="M82" s="93"/>
      <c r="N82" s="91"/>
      <c r="O82" s="91"/>
      <c r="P82" s="91"/>
      <c r="Q82" s="91">
        <v>1</v>
      </c>
      <c r="R82" s="91">
        <v>1</v>
      </c>
      <c r="S82" s="91"/>
      <c r="T82" s="91"/>
      <c r="U82" s="91"/>
      <c r="V82" s="91"/>
      <c r="W82" s="91"/>
      <c r="X82" s="91"/>
      <c r="Y82" s="138">
        <v>1</v>
      </c>
      <c r="Z82" s="91"/>
      <c r="AA82" s="91"/>
      <c r="AB82" s="91"/>
      <c r="AC82" s="91"/>
      <c r="AD82" s="91"/>
      <c r="AE82" s="94"/>
      <c r="AF82" s="91"/>
    </row>
    <row r="83" spans="3:32" ht="12.75" hidden="1">
      <c r="C83" s="91"/>
      <c r="D83" s="91"/>
      <c r="E83" s="91">
        <v>8</v>
      </c>
      <c r="F83" s="92">
        <v>8</v>
      </c>
      <c r="G83" s="92"/>
      <c r="H83" s="93"/>
      <c r="I83" s="91"/>
      <c r="J83" s="91"/>
      <c r="K83" s="93"/>
      <c r="L83" s="93"/>
      <c r="M83" s="93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138">
        <v>1</v>
      </c>
      <c r="Z83" s="91"/>
      <c r="AA83" s="91"/>
      <c r="AB83" s="91"/>
      <c r="AC83" s="91"/>
      <c r="AD83" s="91"/>
      <c r="AE83" s="94"/>
      <c r="AF83" s="91"/>
    </row>
    <row r="84" spans="3:32" ht="12.75" hidden="1">
      <c r="C84" s="91"/>
      <c r="D84" s="91"/>
      <c r="E84" s="91"/>
      <c r="F84" s="92"/>
      <c r="G84" s="92"/>
      <c r="H84" s="93"/>
      <c r="I84" s="91"/>
      <c r="J84" s="91"/>
      <c r="K84" s="93"/>
      <c r="L84" s="93"/>
      <c r="M84" s="93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138">
        <v>1</v>
      </c>
      <c r="Z84" s="91"/>
      <c r="AA84" s="91"/>
      <c r="AB84" s="91"/>
      <c r="AC84" s="91"/>
      <c r="AD84" s="91"/>
      <c r="AE84" s="94"/>
      <c r="AF84" s="91"/>
    </row>
    <row r="85" spans="3:32" ht="12.75" hidden="1">
      <c r="C85" s="91"/>
      <c r="D85" s="91"/>
      <c r="E85" s="91"/>
      <c r="F85" s="92"/>
      <c r="G85" s="92"/>
      <c r="H85" s="93"/>
      <c r="I85" s="91"/>
      <c r="J85" s="91"/>
      <c r="K85" s="93"/>
      <c r="L85" s="93"/>
      <c r="M85" s="93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138">
        <v>1</v>
      </c>
      <c r="Z85" s="91"/>
      <c r="AA85" s="91"/>
      <c r="AB85" s="91"/>
      <c r="AC85" s="91"/>
      <c r="AD85" s="91"/>
      <c r="AE85" s="94"/>
      <c r="AF85" s="91"/>
    </row>
    <row r="86" spans="3:32" ht="12.75" hidden="1">
      <c r="C86" s="91"/>
      <c r="D86" s="91"/>
      <c r="E86" s="91"/>
      <c r="F86" s="92" t="s">
        <v>77</v>
      </c>
      <c r="G86" s="92">
        <v>750</v>
      </c>
      <c r="H86" s="93"/>
      <c r="I86" s="91"/>
      <c r="J86" s="91"/>
      <c r="K86" s="93"/>
      <c r="L86" s="91">
        <f>IF((AD19)&gt;0,G86,IF((H61)&gt;1,G86,IF((M48),G86,IF((H39)&gt;2,G86,IF((M50),G86,0)))))</f>
        <v>0</v>
      </c>
      <c r="M86" s="93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138">
        <v>1</v>
      </c>
      <c r="Z86" s="91"/>
      <c r="AA86" s="91"/>
      <c r="AB86" s="91"/>
      <c r="AC86" s="91"/>
      <c r="AD86" s="91"/>
      <c r="AE86" s="94"/>
      <c r="AF86" s="91"/>
    </row>
    <row r="87" spans="3:32" ht="12.75" hidden="1">
      <c r="C87" s="91"/>
      <c r="D87" s="91"/>
      <c r="E87" s="91"/>
      <c r="F87" s="92"/>
      <c r="G87" s="92"/>
      <c r="H87" s="93"/>
      <c r="I87" s="91"/>
      <c r="J87" s="91"/>
      <c r="K87" s="93"/>
      <c r="L87" s="93"/>
      <c r="M87" s="93"/>
      <c r="N87" s="91"/>
      <c r="O87" s="91"/>
      <c r="P87" s="91"/>
      <c r="Q87" s="91"/>
      <c r="R87" s="91"/>
      <c r="S87" s="91">
        <v>1</v>
      </c>
      <c r="T87" s="91"/>
      <c r="U87" s="91"/>
      <c r="V87" s="91"/>
      <c r="W87" s="91"/>
      <c r="X87" s="91"/>
      <c r="Y87" s="138"/>
      <c r="Z87" s="91"/>
      <c r="AA87" s="91"/>
      <c r="AB87" s="91"/>
      <c r="AC87" s="91"/>
      <c r="AD87" s="91"/>
      <c r="AE87" s="94"/>
      <c r="AF87" s="91"/>
    </row>
    <row r="88" spans="3:32" ht="12.75" hidden="1">
      <c r="C88" s="91"/>
      <c r="D88" s="91"/>
      <c r="E88" s="91">
        <v>0</v>
      </c>
      <c r="F88" s="92" t="s">
        <v>169</v>
      </c>
      <c r="G88" s="92">
        <v>1</v>
      </c>
      <c r="H88" s="93"/>
      <c r="I88" s="91"/>
      <c r="J88" s="91"/>
      <c r="K88" s="93"/>
      <c r="L88" s="93"/>
      <c r="M88" s="91" t="s">
        <v>238</v>
      </c>
      <c r="O88" s="91" t="b">
        <v>0</v>
      </c>
      <c r="P88" s="91" t="b">
        <v>0</v>
      </c>
      <c r="Q88" s="91" t="b">
        <v>0</v>
      </c>
      <c r="R88" s="91" t="b">
        <v>0</v>
      </c>
      <c r="S88" s="91">
        <v>2</v>
      </c>
      <c r="T88" s="91" t="s">
        <v>165</v>
      </c>
      <c r="U88" s="91"/>
      <c r="V88" s="91"/>
      <c r="W88" s="91"/>
      <c r="X88" s="91"/>
      <c r="Y88" s="138">
        <v>1</v>
      </c>
      <c r="Z88" s="91"/>
      <c r="AA88" s="91"/>
      <c r="AB88" s="91"/>
      <c r="AC88" s="91"/>
      <c r="AD88" s="91"/>
      <c r="AE88" s="94"/>
      <c r="AF88" s="91"/>
    </row>
    <row r="89" spans="3:32" ht="12.75" hidden="1">
      <c r="C89" s="91"/>
      <c r="D89" s="91"/>
      <c r="E89" s="91">
        <v>1</v>
      </c>
      <c r="F89" s="92" t="s">
        <v>170</v>
      </c>
      <c r="G89" s="92">
        <v>1</v>
      </c>
      <c r="H89" s="93"/>
      <c r="I89" s="91"/>
      <c r="J89" s="91"/>
      <c r="K89" s="93"/>
      <c r="L89" s="93"/>
      <c r="M89" s="91" t="s">
        <v>239</v>
      </c>
      <c r="O89" s="91" t="b">
        <v>0</v>
      </c>
      <c r="P89" s="91" t="b">
        <v>0</v>
      </c>
      <c r="Q89" s="91" t="b">
        <v>0</v>
      </c>
      <c r="R89" s="91" t="b">
        <v>0</v>
      </c>
      <c r="S89" s="91">
        <v>3</v>
      </c>
      <c r="T89" s="91" t="s">
        <v>166</v>
      </c>
      <c r="U89" s="91"/>
      <c r="V89" s="91"/>
      <c r="W89" s="91"/>
      <c r="X89" s="91"/>
      <c r="Y89" s="138">
        <v>1</v>
      </c>
      <c r="Z89" s="91"/>
      <c r="AA89" s="91"/>
      <c r="AB89" s="91"/>
      <c r="AC89" s="91"/>
      <c r="AD89" s="91"/>
      <c r="AE89" s="94"/>
      <c r="AF89" s="91"/>
    </row>
    <row r="90" spans="3:32" ht="12.75" hidden="1">
      <c r="C90" s="91"/>
      <c r="D90" s="91"/>
      <c r="E90" s="91"/>
      <c r="F90" s="92"/>
      <c r="G90" s="92">
        <v>1</v>
      </c>
      <c r="H90" s="93"/>
      <c r="I90" s="91"/>
      <c r="J90" s="91"/>
      <c r="K90" s="93"/>
      <c r="L90" s="93"/>
      <c r="M90" s="93"/>
      <c r="N90" s="91"/>
      <c r="O90" s="91"/>
      <c r="P90" s="91"/>
      <c r="Q90" s="91"/>
      <c r="R90" s="91"/>
      <c r="S90" s="91">
        <v>4</v>
      </c>
      <c r="T90" s="91" t="s">
        <v>167</v>
      </c>
      <c r="U90" s="91"/>
      <c r="V90" s="91"/>
      <c r="W90" s="91"/>
      <c r="X90" s="91"/>
      <c r="Y90" s="138">
        <v>1</v>
      </c>
      <c r="Z90" s="91"/>
      <c r="AA90" s="91"/>
      <c r="AB90" s="91"/>
      <c r="AC90" s="91"/>
      <c r="AD90" s="91"/>
      <c r="AE90" s="94"/>
      <c r="AF90" s="91"/>
    </row>
    <row r="91" spans="3:32" ht="12.75" hidden="1">
      <c r="C91" s="91"/>
      <c r="D91" s="91"/>
      <c r="E91" s="91"/>
      <c r="F91" s="92"/>
      <c r="G91" s="92">
        <v>1</v>
      </c>
      <c r="H91" s="93"/>
      <c r="I91" s="91"/>
      <c r="J91" s="91"/>
      <c r="K91" s="93"/>
      <c r="L91" s="93"/>
      <c r="M91" s="93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138">
        <v>1</v>
      </c>
      <c r="Z91" s="91"/>
      <c r="AA91" s="91"/>
      <c r="AB91" s="91"/>
      <c r="AC91" s="91"/>
      <c r="AD91" s="91"/>
      <c r="AE91" s="94"/>
      <c r="AF91" s="91"/>
    </row>
    <row r="92" spans="3:32" ht="12.75" hidden="1">
      <c r="C92" s="91"/>
      <c r="D92" s="91"/>
      <c r="E92" s="91"/>
      <c r="F92" s="92"/>
      <c r="G92" s="92">
        <v>1</v>
      </c>
      <c r="H92" s="93"/>
      <c r="I92" s="91"/>
      <c r="J92" s="91"/>
      <c r="K92" s="93"/>
      <c r="L92" s="188" t="s">
        <v>240</v>
      </c>
      <c r="M92" s="93" t="s">
        <v>246</v>
      </c>
      <c r="N92" s="91"/>
      <c r="O92" s="91" t="b">
        <v>0</v>
      </c>
      <c r="P92" s="91" t="b">
        <v>0</v>
      </c>
      <c r="Q92" s="91" t="b">
        <v>0</v>
      </c>
      <c r="R92" s="91" t="b">
        <v>0</v>
      </c>
      <c r="S92" s="91"/>
      <c r="T92" s="91"/>
      <c r="U92" s="91"/>
      <c r="V92" s="91"/>
      <c r="W92" s="91"/>
      <c r="X92" s="91"/>
      <c r="Y92" s="138">
        <v>1</v>
      </c>
      <c r="Z92" s="91"/>
      <c r="AA92" s="91"/>
      <c r="AB92" s="91"/>
      <c r="AC92" s="91"/>
      <c r="AD92" s="91"/>
      <c r="AE92" s="94"/>
      <c r="AF92" s="91"/>
    </row>
    <row r="93" spans="3:32" ht="12.75" hidden="1">
      <c r="C93" s="91"/>
      <c r="D93" s="91"/>
      <c r="E93" s="91"/>
      <c r="F93" s="92"/>
      <c r="G93" s="92">
        <v>1</v>
      </c>
      <c r="H93" s="93"/>
      <c r="I93" s="91"/>
      <c r="J93" s="91"/>
      <c r="K93" s="93"/>
      <c r="L93" s="188"/>
      <c r="M93" s="93" t="s">
        <v>245</v>
      </c>
      <c r="N93" s="91"/>
      <c r="O93" s="91" t="b">
        <v>0</v>
      </c>
      <c r="P93" s="91" t="b">
        <v>0</v>
      </c>
      <c r="Q93" s="91" t="b">
        <v>0</v>
      </c>
      <c r="R93" s="91" t="b">
        <v>0</v>
      </c>
      <c r="S93" s="91"/>
      <c r="T93" s="91"/>
      <c r="U93" s="91"/>
      <c r="V93" s="91"/>
      <c r="W93" s="91"/>
      <c r="X93" s="91"/>
      <c r="Y93" s="138">
        <v>1</v>
      </c>
      <c r="Z93" s="91"/>
      <c r="AA93" s="91"/>
      <c r="AB93" s="91"/>
      <c r="AC93" s="91"/>
      <c r="AD93" s="91"/>
      <c r="AE93" s="94"/>
      <c r="AF93" s="91"/>
    </row>
    <row r="94" spans="3:32" ht="12.75" hidden="1">
      <c r="C94" s="91"/>
      <c r="D94" s="91"/>
      <c r="E94" s="91"/>
      <c r="F94" s="92"/>
      <c r="G94" s="92">
        <v>1</v>
      </c>
      <c r="H94" s="93"/>
      <c r="I94" s="91"/>
      <c r="J94" s="91"/>
      <c r="K94" s="93"/>
      <c r="L94" s="93"/>
      <c r="M94" s="93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138">
        <v>1</v>
      </c>
      <c r="Z94" s="91"/>
      <c r="AA94" s="91"/>
      <c r="AB94" s="91"/>
      <c r="AC94" s="91"/>
      <c r="AD94" s="91"/>
      <c r="AE94" s="94"/>
      <c r="AF94" s="91"/>
    </row>
    <row r="95" spans="3:32" ht="12.75" hidden="1">
      <c r="C95" s="91"/>
      <c r="D95" s="91"/>
      <c r="E95" s="91"/>
      <c r="F95" s="92"/>
      <c r="G95" s="92">
        <v>1</v>
      </c>
      <c r="H95" s="93"/>
      <c r="I95" s="91"/>
      <c r="J95" s="91"/>
      <c r="K95" s="93"/>
      <c r="L95" s="93"/>
      <c r="M95" s="93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138">
        <v>1</v>
      </c>
      <c r="Z95" s="91"/>
      <c r="AA95" s="91"/>
      <c r="AB95" s="91"/>
      <c r="AC95" s="91"/>
      <c r="AD95" s="91"/>
      <c r="AE95" s="94"/>
      <c r="AF95" s="91"/>
    </row>
    <row r="96" spans="3:32" ht="12.75" hidden="1">
      <c r="C96" s="91"/>
      <c r="D96" s="91"/>
      <c r="E96" s="91"/>
      <c r="F96" s="139"/>
      <c r="G96" s="92"/>
      <c r="H96" s="93"/>
      <c r="I96" s="91"/>
      <c r="J96" s="91"/>
      <c r="K96" s="93"/>
      <c r="L96" s="93"/>
      <c r="M96" s="93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138"/>
      <c r="Z96" s="91"/>
      <c r="AA96" s="91"/>
      <c r="AB96" s="91"/>
      <c r="AC96" s="91"/>
      <c r="AD96" s="91"/>
      <c r="AE96" s="94"/>
      <c r="AF96" s="91"/>
    </row>
    <row r="97" spans="3:32" ht="12.75" hidden="1">
      <c r="C97" s="91"/>
      <c r="D97" s="91"/>
      <c r="E97" s="91">
        <v>0</v>
      </c>
      <c r="F97" s="139" t="s">
        <v>189</v>
      </c>
      <c r="G97" s="92">
        <v>1</v>
      </c>
      <c r="H97" s="93"/>
      <c r="I97" s="91"/>
      <c r="J97" s="91"/>
      <c r="K97" s="93"/>
      <c r="L97" s="93"/>
      <c r="M97" s="93">
        <v>1</v>
      </c>
      <c r="N97" s="91" t="s">
        <v>196</v>
      </c>
      <c r="O97" s="91"/>
      <c r="P97" s="91"/>
      <c r="Q97" s="91">
        <v>1</v>
      </c>
      <c r="R97" s="91"/>
      <c r="S97" s="91"/>
      <c r="T97" s="91"/>
      <c r="U97" s="91"/>
      <c r="V97" s="91"/>
      <c r="W97" s="91"/>
      <c r="X97" s="91"/>
      <c r="Y97" s="138"/>
      <c r="Z97" s="91"/>
      <c r="AA97" s="91"/>
      <c r="AB97" s="91"/>
      <c r="AC97" s="91"/>
      <c r="AD97" s="91"/>
      <c r="AE97" s="94"/>
      <c r="AF97" s="91"/>
    </row>
    <row r="98" spans="3:32" ht="12.75" hidden="1">
      <c r="C98" s="91"/>
      <c r="D98" s="91"/>
      <c r="E98" s="91">
        <v>1</v>
      </c>
      <c r="F98" s="139" t="s">
        <v>190</v>
      </c>
      <c r="G98" s="92">
        <v>1</v>
      </c>
      <c r="H98" s="93"/>
      <c r="I98" s="91"/>
      <c r="J98" s="91"/>
      <c r="K98" s="93"/>
      <c r="L98" s="93"/>
      <c r="M98" s="93">
        <v>2</v>
      </c>
      <c r="N98" s="91" t="s">
        <v>197</v>
      </c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138"/>
      <c r="Z98" s="91"/>
      <c r="AA98" s="91"/>
      <c r="AB98" s="91"/>
      <c r="AC98" s="91"/>
      <c r="AD98" s="91"/>
      <c r="AE98" s="94"/>
      <c r="AF98" s="91"/>
    </row>
    <row r="99" spans="3:32" ht="12.75" hidden="1">
      <c r="C99" s="91"/>
      <c r="D99" s="91"/>
      <c r="E99" s="91">
        <v>2</v>
      </c>
      <c r="F99" s="139" t="s">
        <v>191</v>
      </c>
      <c r="G99" s="92">
        <v>1</v>
      </c>
      <c r="H99" s="93"/>
      <c r="I99" s="91"/>
      <c r="J99" s="91"/>
      <c r="K99" s="93"/>
      <c r="L99" s="93"/>
      <c r="M99" s="93"/>
      <c r="N99" s="91"/>
      <c r="O99" s="91"/>
      <c r="P99" s="91"/>
      <c r="Q99" s="91"/>
      <c r="R99" s="91"/>
      <c r="S99" s="91">
        <v>1</v>
      </c>
      <c r="T99" s="91" t="s">
        <v>225</v>
      </c>
      <c r="U99" s="91"/>
      <c r="V99" s="91"/>
      <c r="W99" s="91"/>
      <c r="X99" s="91"/>
      <c r="Y99" s="138">
        <v>1</v>
      </c>
      <c r="Z99" s="91"/>
      <c r="AA99" s="91"/>
      <c r="AB99" s="91"/>
      <c r="AC99" s="91"/>
      <c r="AD99" s="91"/>
      <c r="AE99" s="94"/>
      <c r="AF99" s="91"/>
    </row>
    <row r="100" spans="3:32" ht="12.75" hidden="1">
      <c r="C100" s="91"/>
      <c r="D100" s="91"/>
      <c r="E100" s="91">
        <v>3</v>
      </c>
      <c r="F100" s="139" t="s">
        <v>192</v>
      </c>
      <c r="G100" s="92">
        <v>1</v>
      </c>
      <c r="H100" s="93"/>
      <c r="I100" s="91"/>
      <c r="J100" s="91"/>
      <c r="K100" s="93"/>
      <c r="L100" s="93"/>
      <c r="M100" s="93"/>
      <c r="N100" s="91"/>
      <c r="O100" s="91"/>
      <c r="P100" s="91"/>
      <c r="Q100" s="91"/>
      <c r="R100" s="91"/>
      <c r="S100" s="91">
        <v>2</v>
      </c>
      <c r="T100" s="91" t="s">
        <v>223</v>
      </c>
      <c r="U100" s="91"/>
      <c r="V100" s="91"/>
      <c r="W100" s="91"/>
      <c r="X100" s="91"/>
      <c r="Y100" s="138"/>
      <c r="Z100" s="91"/>
      <c r="AA100" s="91"/>
      <c r="AB100" s="91"/>
      <c r="AC100" s="91"/>
      <c r="AD100" s="91"/>
      <c r="AE100" s="94"/>
      <c r="AF100" s="91"/>
    </row>
    <row r="101" spans="3:32" ht="12.75" hidden="1">
      <c r="C101" s="91"/>
      <c r="D101" s="91"/>
      <c r="E101" s="91">
        <v>4</v>
      </c>
      <c r="F101" s="139" t="s">
        <v>193</v>
      </c>
      <c r="G101" s="92"/>
      <c r="H101" s="93"/>
      <c r="I101" s="91"/>
      <c r="J101" s="91"/>
      <c r="K101" s="93"/>
      <c r="L101" s="93"/>
      <c r="M101" s="93">
        <v>1</v>
      </c>
      <c r="N101" s="91" t="s">
        <v>247</v>
      </c>
      <c r="O101" s="91"/>
      <c r="P101" s="91"/>
      <c r="Q101" s="91">
        <v>1</v>
      </c>
      <c r="R101" s="91"/>
      <c r="S101" s="91">
        <v>3</v>
      </c>
      <c r="T101" s="91" t="s">
        <v>224</v>
      </c>
      <c r="U101" s="91"/>
      <c r="V101" s="91"/>
      <c r="W101" s="91"/>
      <c r="X101" s="91"/>
      <c r="Y101" s="138"/>
      <c r="Z101" s="91"/>
      <c r="AA101" s="91"/>
      <c r="AB101" s="91"/>
      <c r="AC101" s="91"/>
      <c r="AD101" s="91"/>
      <c r="AE101" s="94"/>
      <c r="AF101" s="91"/>
    </row>
    <row r="102" spans="3:32" ht="12.75" hidden="1">
      <c r="C102" s="91"/>
      <c r="D102" s="91"/>
      <c r="E102" s="91"/>
      <c r="F102" s="139"/>
      <c r="G102" s="92"/>
      <c r="H102" s="93"/>
      <c r="I102" s="91"/>
      <c r="J102" s="91"/>
      <c r="K102" s="93"/>
      <c r="L102" s="93"/>
      <c r="M102" s="93">
        <v>2</v>
      </c>
      <c r="N102" s="91" t="s">
        <v>248</v>
      </c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138"/>
      <c r="Z102" s="91"/>
      <c r="AA102" s="91"/>
      <c r="AB102" s="91"/>
      <c r="AC102" s="91"/>
      <c r="AD102" s="91"/>
      <c r="AE102" s="94"/>
      <c r="AF102" s="91"/>
    </row>
    <row r="103" spans="3:32" ht="12.75" hidden="1">
      <c r="C103" s="91"/>
      <c r="D103" s="91"/>
      <c r="E103" s="91"/>
      <c r="F103" s="92"/>
      <c r="G103" s="92"/>
      <c r="H103" s="93"/>
      <c r="I103" s="91"/>
      <c r="J103" s="91"/>
      <c r="K103" s="93"/>
      <c r="L103" s="93"/>
      <c r="M103" s="93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138"/>
      <c r="Z103" s="91"/>
      <c r="AA103" s="91"/>
      <c r="AB103" s="91"/>
      <c r="AC103" s="91"/>
      <c r="AD103" s="91"/>
      <c r="AE103" s="94"/>
      <c r="AF103" s="91"/>
    </row>
    <row r="104" spans="3:32" ht="12.75" hidden="1">
      <c r="C104" s="91"/>
      <c r="D104" s="91"/>
      <c r="E104" s="91">
        <v>0</v>
      </c>
      <c r="F104" s="91" t="s">
        <v>138</v>
      </c>
      <c r="G104" s="91">
        <v>1</v>
      </c>
      <c r="H104" s="93"/>
      <c r="I104" s="91"/>
      <c r="J104" s="91"/>
      <c r="K104" s="93"/>
      <c r="L104" s="93"/>
      <c r="M104" s="93"/>
      <c r="N104" s="91" t="s">
        <v>204</v>
      </c>
      <c r="O104" s="91"/>
      <c r="P104" s="91"/>
      <c r="Q104" s="91" t="b">
        <v>0</v>
      </c>
      <c r="R104" s="91"/>
      <c r="S104" s="91">
        <v>1</v>
      </c>
      <c r="T104" s="91" t="s">
        <v>226</v>
      </c>
      <c r="U104" s="91"/>
      <c r="V104" s="91"/>
      <c r="W104" s="91"/>
      <c r="X104" s="91"/>
      <c r="Y104" s="138">
        <v>1</v>
      </c>
      <c r="Z104" s="91"/>
      <c r="AA104" s="91"/>
      <c r="AB104" s="91"/>
      <c r="AC104" s="91"/>
      <c r="AD104" s="91"/>
      <c r="AE104" s="94"/>
      <c r="AF104" s="91"/>
    </row>
    <row r="105" spans="3:32" ht="12.75" hidden="1">
      <c r="C105" s="91"/>
      <c r="D105" s="91"/>
      <c r="E105" s="91">
        <v>1</v>
      </c>
      <c r="F105" s="91" t="s">
        <v>139</v>
      </c>
      <c r="G105" s="91">
        <v>1</v>
      </c>
      <c r="H105" s="93"/>
      <c r="I105" s="91"/>
      <c r="J105" s="91"/>
      <c r="K105" s="93"/>
      <c r="L105" s="93"/>
      <c r="M105" s="93"/>
      <c r="N105" s="91"/>
      <c r="O105" s="91"/>
      <c r="P105" s="91"/>
      <c r="Q105" s="91"/>
      <c r="R105" s="91"/>
      <c r="S105" s="91">
        <v>2</v>
      </c>
      <c r="T105" s="91" t="s">
        <v>227</v>
      </c>
      <c r="U105" s="91"/>
      <c r="V105" s="91"/>
      <c r="W105" s="91"/>
      <c r="X105" s="91"/>
      <c r="Y105" s="138"/>
      <c r="Z105" s="91"/>
      <c r="AA105" s="91"/>
      <c r="AB105" s="91"/>
      <c r="AC105" s="91"/>
      <c r="AD105" s="91"/>
      <c r="AE105" s="94"/>
      <c r="AF105" s="91"/>
    </row>
    <row r="106" spans="3:32" ht="12.75" hidden="1">
      <c r="C106" s="91"/>
      <c r="D106" s="91"/>
      <c r="E106" s="91">
        <v>2</v>
      </c>
      <c r="F106" s="91" t="s">
        <v>140</v>
      </c>
      <c r="G106" s="91">
        <v>1</v>
      </c>
      <c r="H106" s="93"/>
      <c r="I106" s="91"/>
      <c r="J106" s="91"/>
      <c r="K106" s="93"/>
      <c r="L106" s="93"/>
      <c r="M106" s="93">
        <v>1</v>
      </c>
      <c r="N106" s="251" t="s">
        <v>208</v>
      </c>
      <c r="O106" s="251"/>
      <c r="P106" s="91"/>
      <c r="Q106" s="91">
        <v>1</v>
      </c>
      <c r="R106" s="91"/>
      <c r="S106" s="91">
        <v>3</v>
      </c>
      <c r="T106" s="91" t="s">
        <v>228</v>
      </c>
      <c r="U106" s="91"/>
      <c r="V106" s="91"/>
      <c r="W106" s="91"/>
      <c r="X106" s="91"/>
      <c r="Y106" s="138"/>
      <c r="Z106" s="91"/>
      <c r="AA106" s="91"/>
      <c r="AB106" s="91"/>
      <c r="AC106" s="91"/>
      <c r="AD106" s="91"/>
      <c r="AE106" s="94"/>
      <c r="AF106" s="91"/>
    </row>
    <row r="107" spans="3:32" ht="12.75" hidden="1">
      <c r="C107" s="91"/>
      <c r="D107" s="91"/>
      <c r="E107" s="91">
        <v>3</v>
      </c>
      <c r="F107" s="91" t="s">
        <v>141</v>
      </c>
      <c r="G107" s="91">
        <v>1</v>
      </c>
      <c r="H107" s="93"/>
      <c r="I107" s="91"/>
      <c r="J107" s="91"/>
      <c r="K107" s="93"/>
      <c r="L107" s="93"/>
      <c r="M107" s="93">
        <v>2</v>
      </c>
      <c r="N107" s="251" t="s">
        <v>209</v>
      </c>
      <c r="O107" s="251"/>
      <c r="P107" s="91"/>
      <c r="Q107" s="91">
        <v>1</v>
      </c>
      <c r="R107" s="91"/>
      <c r="S107" s="91"/>
      <c r="T107" s="91"/>
      <c r="U107" s="91"/>
      <c r="V107" s="91"/>
      <c r="W107" s="91"/>
      <c r="X107" s="91"/>
      <c r="Y107" s="138"/>
      <c r="Z107" s="91"/>
      <c r="AA107" s="91"/>
      <c r="AB107" s="91"/>
      <c r="AC107" s="91"/>
      <c r="AD107" s="91"/>
      <c r="AE107" s="94"/>
      <c r="AF107" s="91"/>
    </row>
    <row r="108" spans="3:32" ht="12.75" hidden="1">
      <c r="C108" s="91"/>
      <c r="D108" s="91"/>
      <c r="E108" s="91">
        <v>4</v>
      </c>
      <c r="F108" s="91" t="s">
        <v>142</v>
      </c>
      <c r="G108" s="91"/>
      <c r="H108" s="93"/>
      <c r="I108" s="91"/>
      <c r="J108" s="91"/>
      <c r="K108" s="93"/>
      <c r="L108" s="93"/>
      <c r="M108" s="93">
        <v>3</v>
      </c>
      <c r="N108" s="251" t="s">
        <v>210</v>
      </c>
      <c r="O108" s="251"/>
      <c r="P108" s="91"/>
      <c r="Q108" s="91"/>
      <c r="R108" s="91"/>
      <c r="S108" s="91"/>
      <c r="T108" s="91" t="s">
        <v>233</v>
      </c>
      <c r="U108" s="91"/>
      <c r="V108" s="91"/>
      <c r="W108" s="91"/>
      <c r="X108" s="91"/>
      <c r="Y108" s="138" t="b">
        <v>0</v>
      </c>
      <c r="Z108" s="91"/>
      <c r="AA108" s="91"/>
      <c r="AB108" s="91"/>
      <c r="AC108" s="91"/>
      <c r="AD108" s="91"/>
      <c r="AE108" s="94"/>
      <c r="AF108" s="91"/>
    </row>
    <row r="109" spans="3:32" ht="12.75" hidden="1">
      <c r="C109" s="91"/>
      <c r="D109" s="91"/>
      <c r="E109" s="91"/>
      <c r="F109" s="92"/>
      <c r="G109" s="92"/>
      <c r="H109" s="93"/>
      <c r="I109" s="91"/>
      <c r="J109" s="91"/>
      <c r="K109" s="93"/>
      <c r="L109" s="93"/>
      <c r="M109" s="93">
        <v>4</v>
      </c>
      <c r="N109" s="251" t="s">
        <v>211</v>
      </c>
      <c r="O109" s="251"/>
      <c r="P109" s="91"/>
      <c r="Q109" s="91"/>
      <c r="R109" s="91"/>
      <c r="S109" s="91"/>
      <c r="T109" s="91"/>
      <c r="U109" s="91"/>
      <c r="V109" s="91"/>
      <c r="W109" s="91"/>
      <c r="X109" s="91"/>
      <c r="Y109" s="138"/>
      <c r="Z109" s="91"/>
      <c r="AA109" s="91"/>
      <c r="AB109" s="91"/>
      <c r="AC109" s="91"/>
      <c r="AD109" s="91"/>
      <c r="AE109" s="94"/>
      <c r="AF109" s="91"/>
    </row>
    <row r="110" spans="3:32" ht="12.75" hidden="1">
      <c r="C110" s="91"/>
      <c r="D110" s="91"/>
      <c r="E110" s="91"/>
      <c r="F110" s="92" t="s">
        <v>222</v>
      </c>
      <c r="G110" s="92" t="b">
        <v>0</v>
      </c>
      <c r="H110" s="93"/>
      <c r="I110" s="91"/>
      <c r="J110" s="91"/>
      <c r="K110" s="93"/>
      <c r="L110" s="93"/>
      <c r="M110" s="93">
        <v>5</v>
      </c>
      <c r="N110" s="251" t="s">
        <v>212</v>
      </c>
      <c r="O110" s="251"/>
      <c r="P110" s="91"/>
      <c r="Q110" s="91"/>
      <c r="R110" s="91"/>
      <c r="S110" s="91">
        <v>1</v>
      </c>
      <c r="T110" s="91" t="s">
        <v>234</v>
      </c>
      <c r="U110" s="91"/>
      <c r="V110" s="91"/>
      <c r="W110" s="91"/>
      <c r="X110" s="91"/>
      <c r="Y110" s="91">
        <v>1</v>
      </c>
      <c r="Z110" s="91"/>
      <c r="AA110" s="91"/>
      <c r="AB110" s="91"/>
      <c r="AC110" s="91"/>
      <c r="AD110" s="91"/>
      <c r="AE110" s="94"/>
      <c r="AF110" s="91"/>
    </row>
    <row r="111" spans="3:32" ht="12.75" hidden="1">
      <c r="C111" s="91"/>
      <c r="D111" s="91"/>
      <c r="E111" s="91"/>
      <c r="F111" s="92"/>
      <c r="G111" s="92"/>
      <c r="H111" s="93"/>
      <c r="I111" s="91"/>
      <c r="J111" s="91"/>
      <c r="K111" s="93"/>
      <c r="L111" s="93"/>
      <c r="M111" s="93">
        <v>6</v>
      </c>
      <c r="N111" s="251" t="s">
        <v>213</v>
      </c>
      <c r="O111" s="251"/>
      <c r="P111" s="91"/>
      <c r="Q111" s="91"/>
      <c r="R111" s="91"/>
      <c r="S111" s="91">
        <v>2</v>
      </c>
      <c r="T111" s="91" t="s">
        <v>235</v>
      </c>
      <c r="U111" s="91"/>
      <c r="V111" s="91"/>
      <c r="W111" s="91"/>
      <c r="X111" s="91"/>
      <c r="Y111" s="91">
        <v>1</v>
      </c>
      <c r="Z111" s="91"/>
      <c r="AA111" s="91"/>
      <c r="AB111" s="91"/>
      <c r="AC111" s="91"/>
      <c r="AD111" s="91"/>
      <c r="AE111" s="94"/>
      <c r="AF111" s="91"/>
    </row>
    <row r="112" spans="3:32" ht="12.75" hidden="1">
      <c r="C112" s="91"/>
      <c r="D112" s="91"/>
      <c r="E112" s="91"/>
      <c r="F112" s="92"/>
      <c r="G112" s="92"/>
      <c r="H112" s="93"/>
      <c r="I112" s="91"/>
      <c r="J112" s="91"/>
      <c r="K112" s="93"/>
      <c r="L112" s="93"/>
      <c r="M112" s="93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4"/>
      <c r="AF112" s="91"/>
    </row>
    <row r="113" spans="3:32" ht="12.75" hidden="1">
      <c r="C113" s="91"/>
      <c r="D113" s="91"/>
      <c r="E113" s="91"/>
      <c r="F113" s="92"/>
      <c r="G113" s="92"/>
      <c r="H113" s="93"/>
      <c r="I113" s="91"/>
      <c r="J113" s="91"/>
      <c r="K113" s="93"/>
      <c r="L113" s="93"/>
      <c r="M113" s="93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4"/>
      <c r="AF113" s="91"/>
    </row>
    <row r="114" spans="3:32" ht="12.75" hidden="1">
      <c r="C114" s="91"/>
      <c r="D114" s="91"/>
      <c r="E114" s="91"/>
      <c r="F114" s="92"/>
      <c r="G114" s="92"/>
      <c r="H114" s="93"/>
      <c r="I114" s="91"/>
      <c r="J114" s="91"/>
      <c r="K114" s="93"/>
      <c r="L114" s="93"/>
      <c r="M114" s="93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4"/>
      <c r="AF114" s="91"/>
    </row>
    <row r="116" spans="2:32" ht="3" customHeight="1">
      <c r="B116" s="2"/>
      <c r="C116" s="2"/>
      <c r="D116" s="2"/>
      <c r="E116" s="2"/>
      <c r="F116" s="98"/>
      <c r="G116" s="98"/>
      <c r="H116" s="65"/>
      <c r="I116" s="2"/>
      <c r="J116" s="2"/>
      <c r="K116" s="65"/>
      <c r="L116" s="65"/>
      <c r="M116" s="65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99"/>
      <c r="AF116" s="2"/>
    </row>
    <row r="117" spans="1:71" ht="6.75" customHeight="1">
      <c r="A117" s="18"/>
      <c r="B117" s="18"/>
      <c r="C117" s="18"/>
      <c r="D117" s="18"/>
      <c r="E117" s="18"/>
      <c r="F117" s="126"/>
      <c r="G117" s="126"/>
      <c r="H117" s="22"/>
      <c r="I117" s="18"/>
      <c r="J117" s="18"/>
      <c r="K117" s="22"/>
      <c r="L117" s="22"/>
      <c r="M117" s="22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20"/>
      <c r="AF117" s="18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</row>
    <row r="118" spans="1:71" s="100" customFormat="1" ht="24" customHeight="1">
      <c r="A118" s="109"/>
      <c r="B118" s="275" t="s">
        <v>78</v>
      </c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109"/>
      <c r="X118" s="109"/>
      <c r="Y118" s="109"/>
      <c r="Z118" s="109"/>
      <c r="AA118" s="109"/>
      <c r="AB118" s="109"/>
      <c r="AC118" s="109"/>
      <c r="AD118" s="109"/>
      <c r="AE118" s="276">
        <f>AE2+AE11+AE13+AE15+AE19+AE21+AE23+AE25+AE27+AE29+AE31</f>
        <v>13560</v>
      </c>
      <c r="AF118" s="276"/>
      <c r="BC118" s="279" t="s">
        <v>80</v>
      </c>
      <c r="BD118" s="279"/>
      <c r="BE118" s="279"/>
      <c r="BF118" s="279"/>
      <c r="BG118" s="279"/>
      <c r="BH118" s="279"/>
      <c r="BI118" s="279"/>
      <c r="BJ118" s="279"/>
      <c r="BK118" s="279"/>
      <c r="BL118" s="279"/>
      <c r="BM118" s="279"/>
      <c r="BN118" s="279"/>
      <c r="BO118" s="279"/>
      <c r="BP118" s="279"/>
      <c r="BQ118" s="279"/>
      <c r="BR118" s="279"/>
      <c r="BS118" s="279"/>
    </row>
    <row r="119" spans="1:71" ht="13.5" thickBot="1">
      <c r="A119" s="18"/>
      <c r="B119" s="18"/>
      <c r="C119" s="18"/>
      <c r="D119" s="18"/>
      <c r="E119" s="18"/>
      <c r="F119" s="126"/>
      <c r="G119" s="126"/>
      <c r="H119" s="22"/>
      <c r="I119" s="18"/>
      <c r="J119" s="18"/>
      <c r="K119" s="22"/>
      <c r="L119" s="22"/>
      <c r="M119" s="22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20"/>
      <c r="AF119" s="18"/>
      <c r="BC119" s="177"/>
      <c r="BD119" s="177"/>
      <c r="BE119" s="178" t="s">
        <v>243</v>
      </c>
      <c r="BF119" s="179" t="s">
        <v>244</v>
      </c>
      <c r="BG119" s="180">
        <f>K4</f>
        <v>0</v>
      </c>
      <c r="BH119" s="181"/>
      <c r="BI119" s="180">
        <f aca="true" t="shared" si="1" ref="BI119:BS119">L4</f>
        <v>0</v>
      </c>
      <c r="BJ119" s="180">
        <f t="shared" si="1"/>
        <v>0</v>
      </c>
      <c r="BK119" s="180">
        <f t="shared" si="1"/>
        <v>0</v>
      </c>
      <c r="BL119" s="180">
        <f t="shared" si="1"/>
        <v>0</v>
      </c>
      <c r="BM119" s="180">
        <f t="shared" si="1"/>
        <v>2</v>
      </c>
      <c r="BN119" s="180">
        <f t="shared" si="1"/>
        <v>0</v>
      </c>
      <c r="BO119" s="180">
        <f t="shared" si="1"/>
        <v>0</v>
      </c>
      <c r="BP119" s="180">
        <f t="shared" si="1"/>
        <v>0</v>
      </c>
      <c r="BQ119" s="180">
        <f t="shared" si="1"/>
        <v>0</v>
      </c>
      <c r="BR119" s="182">
        <f t="shared" si="1"/>
        <v>0</v>
      </c>
      <c r="BS119" s="180">
        <f t="shared" si="1"/>
        <v>0</v>
      </c>
    </row>
    <row r="120" spans="1:32" ht="13.5" thickBot="1">
      <c r="A120" s="18"/>
      <c r="B120" s="18"/>
      <c r="C120" s="127"/>
      <c r="D120" s="18"/>
      <c r="E120" s="18"/>
      <c r="F120" s="273" t="s">
        <v>44</v>
      </c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20"/>
      <c r="AF120" s="18"/>
    </row>
    <row r="121" spans="55:59" ht="12.75">
      <c r="BC121" s="70" t="s">
        <v>82</v>
      </c>
      <c r="BE121">
        <v>1</v>
      </c>
      <c r="BF121" s="110" t="str">
        <f>IF(H33=1,"neosazeno",IF(H33=2,"U / R",IF(H33=3,"I","ne")))</f>
        <v>neosazeno</v>
      </c>
      <c r="BG121" s="110"/>
    </row>
    <row r="122" spans="57:59" ht="12.75">
      <c r="BE122">
        <v>2</v>
      </c>
      <c r="BF122" s="111" t="str">
        <f>IF(H34=1,"neosazeno",IF(H34=2,"U / R",IF(H34=3,"I","ne")))</f>
        <v>neosazeno</v>
      </c>
      <c r="BG122" s="111"/>
    </row>
    <row r="123" spans="57:59" ht="12.75">
      <c r="BE123">
        <v>3</v>
      </c>
      <c r="BF123" s="111" t="str">
        <f>IF(H35=1,"neosazeno",IF(H35=2,"U / R",IF(H35=3,"I","ne")))</f>
        <v>neosazeno</v>
      </c>
      <c r="BG123" s="111"/>
    </row>
    <row r="124" spans="57:59" ht="12.75">
      <c r="BE124">
        <v>4</v>
      </c>
      <c r="BF124" s="111" t="str">
        <f>IF(H36=1,"neosazeno",IF(H36=2,"U / R",IF(H36=3,"I","ne")))</f>
        <v>neosazeno</v>
      </c>
      <c r="BG124" s="111"/>
    </row>
    <row r="126" spans="55:66" ht="12.75">
      <c r="BC126" t="s">
        <v>83</v>
      </c>
      <c r="BF126" s="111" t="str">
        <f>IF(H61=2,"ANO",IF(H61=3,"ANO","NE"))</f>
        <v>NE</v>
      </c>
      <c r="BG126" s="111"/>
      <c r="BL126" t="s">
        <v>84</v>
      </c>
      <c r="BN126" s="111" t="str">
        <f>IF(H61=3,"ANO","NE")</f>
        <v>NE</v>
      </c>
    </row>
    <row r="128" spans="55:71" ht="12.75">
      <c r="BC128" s="146" t="s">
        <v>85</v>
      </c>
      <c r="BD128" s="146"/>
      <c r="BE128" s="146"/>
      <c r="BF128" s="149">
        <f>P4</f>
        <v>2</v>
      </c>
      <c r="BG128" s="149"/>
      <c r="BH128" s="146"/>
      <c r="BI128" s="146"/>
      <c r="BJ128" s="146"/>
      <c r="BK128" s="146"/>
      <c r="BL128" s="146" t="s">
        <v>86</v>
      </c>
      <c r="BM128" s="146"/>
      <c r="BN128" s="150" t="str">
        <f>IF(K66=2,"ANO","NE")</f>
        <v>NE</v>
      </c>
      <c r="BO128" s="146"/>
      <c r="BP128" s="146"/>
      <c r="BQ128" s="146"/>
      <c r="BR128" s="146"/>
      <c r="BS128" s="146"/>
    </row>
    <row r="130" spans="55:59" ht="12.75">
      <c r="BC130" t="s">
        <v>56</v>
      </c>
      <c r="BF130" s="111" t="str">
        <f>IF(M48,"ANO","NE")</f>
        <v>NE</v>
      </c>
      <c r="BG130" s="111"/>
    </row>
    <row r="132" spans="55:71" ht="12.75">
      <c r="BC132" s="146" t="s">
        <v>87</v>
      </c>
      <c r="BD132" s="146"/>
      <c r="BE132" s="146"/>
      <c r="BF132" s="150" t="str">
        <f>IF(M50,"ANO","NE")</f>
        <v>NE</v>
      </c>
      <c r="BG132" s="150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</row>
    <row r="134" spans="55:66" ht="12.75">
      <c r="BC134" t="s">
        <v>88</v>
      </c>
      <c r="BF134" s="111" t="str">
        <f>VLOOKUP(H39-1,E39:F42,2)</f>
        <v>neosazeno</v>
      </c>
      <c r="BG134" s="111"/>
      <c r="BL134" t="s">
        <v>84</v>
      </c>
      <c r="BN134" s="111" t="str">
        <f>IF(I39,"ANO","NE")</f>
        <v>NE</v>
      </c>
    </row>
    <row r="136" spans="55:71" ht="12.75">
      <c r="BC136" s="146" t="s">
        <v>89</v>
      </c>
      <c r="BD136" s="146"/>
      <c r="BE136" s="146"/>
      <c r="BF136" s="150" t="str">
        <f>IF(H48&gt;1,"ANO","NE")</f>
        <v>NE</v>
      </c>
      <c r="BG136" s="150"/>
      <c r="BH136" s="146"/>
      <c r="BI136" s="146"/>
      <c r="BJ136" s="146"/>
      <c r="BK136" s="146"/>
      <c r="BL136" s="146" t="s">
        <v>90</v>
      </c>
      <c r="BM136" s="146"/>
      <c r="BN136" s="149" t="str">
        <f>VLOOKUP(H48-1,E48:F52,2)</f>
        <v>0,7m</v>
      </c>
      <c r="BO136" s="146"/>
      <c r="BP136" s="146"/>
      <c r="BQ136" s="146"/>
      <c r="BR136" s="146"/>
      <c r="BS136" s="146"/>
    </row>
    <row r="138" spans="55:66" ht="12.75">
      <c r="BC138" t="s">
        <v>91</v>
      </c>
      <c r="BF138" s="111" t="str">
        <f>IF(H54&gt;1,"ANO","NE")</f>
        <v>NE</v>
      </c>
      <c r="BG138" s="111"/>
      <c r="BL138" t="s">
        <v>92</v>
      </c>
      <c r="BN138" s="112">
        <f>VLOOKUP(H54-1,E54:F58,2)</f>
        <v>0</v>
      </c>
    </row>
    <row r="140" ht="3" customHeight="1"/>
    <row r="142" spans="55:71" ht="15.75">
      <c r="BC142" s="175"/>
      <c r="BD142" s="176"/>
      <c r="BE142" s="176"/>
      <c r="BF142" s="176"/>
      <c r="BG142" s="176"/>
      <c r="BH142" s="176"/>
      <c r="BI142" s="176"/>
      <c r="BJ142" s="270" t="s">
        <v>264</v>
      </c>
      <c r="BK142" s="270"/>
      <c r="BL142" s="270"/>
      <c r="BM142" s="264">
        <f>AE118</f>
        <v>13560</v>
      </c>
      <c r="BN142" s="265"/>
      <c r="BO142" s="265"/>
      <c r="BP142" s="175"/>
      <c r="BQ142" s="175"/>
      <c r="BR142" s="175"/>
      <c r="BS142" s="175"/>
    </row>
    <row r="143" spans="55:71" ht="3" customHeight="1">
      <c r="BC143" s="38"/>
      <c r="BD143" s="38"/>
      <c r="BE143" s="38"/>
      <c r="BF143" s="38"/>
      <c r="BG143" s="38"/>
      <c r="BH143" s="38"/>
      <c r="BI143" s="38"/>
      <c r="BJ143" s="38"/>
      <c r="BK143" s="38"/>
      <c r="BL143" s="196" t="s">
        <v>35</v>
      </c>
      <c r="BM143" s="196"/>
      <c r="BN143" s="196"/>
      <c r="BO143" s="196"/>
      <c r="BP143" s="196"/>
      <c r="BQ143" s="197">
        <f>AE118</f>
        <v>13560</v>
      </c>
      <c r="BR143" s="197"/>
      <c r="BS143" s="197"/>
    </row>
    <row r="144" spans="55:71" ht="12.75"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</row>
    <row r="145" spans="55:71" ht="6.75" customHeight="1"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</row>
    <row r="146" spans="55:71" ht="12.75">
      <c r="BC146" s="269" t="s">
        <v>36</v>
      </c>
      <c r="BD146" s="269"/>
      <c r="BE146" s="207">
        <f>firma!E22</f>
        <v>0</v>
      </c>
      <c r="BF146" s="207"/>
      <c r="BG146" s="207"/>
      <c r="BH146" s="207"/>
      <c r="BI146" s="207"/>
      <c r="BJ146" s="207"/>
      <c r="BK146" s="128"/>
      <c r="BL146" s="140"/>
      <c r="BM146" s="140"/>
      <c r="BN146" s="140"/>
      <c r="BO146" s="140"/>
      <c r="BP146" s="18"/>
      <c r="BQ146" s="18"/>
      <c r="BR146" s="18"/>
      <c r="BS146" s="18"/>
    </row>
    <row r="147" spans="55:71" ht="6.75" customHeight="1"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</row>
    <row r="148" spans="55:71" ht="12.75" hidden="1"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</row>
    <row r="149" spans="55:71" ht="12" customHeight="1">
      <c r="BC149" s="42" t="s">
        <v>37</v>
      </c>
      <c r="BD149" s="268">
        <f ca="1">TODAY()</f>
        <v>40626</v>
      </c>
      <c r="BE149" s="268"/>
      <c r="BF149" s="43"/>
      <c r="BG149" s="43"/>
      <c r="BH149" s="17"/>
      <c r="BI149" s="17"/>
      <c r="BJ149" s="17"/>
      <c r="BK149" s="17"/>
      <c r="BL149" s="18"/>
      <c r="BM149" s="18"/>
      <c r="BN149" s="18"/>
      <c r="BO149" s="18"/>
      <c r="BP149" s="18"/>
      <c r="BQ149" s="18"/>
      <c r="BR149" s="18"/>
      <c r="BS149" s="18"/>
    </row>
    <row r="150" spans="55:71" ht="12.75"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206" t="s">
        <v>38</v>
      </c>
      <c r="BO150" s="206"/>
      <c r="BP150" s="206"/>
      <c r="BQ150" s="206"/>
      <c r="BR150" s="206"/>
      <c r="BS150" s="60"/>
    </row>
    <row r="151" spans="55:71" ht="6.75" customHeight="1"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</row>
    <row r="152" spans="55:71" ht="12.75"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</row>
    <row r="153" ht="6.75" customHeight="1"/>
    <row r="154" spans="60:71" ht="12.75" hidden="1">
      <c r="BH154" s="107"/>
      <c r="BI154" s="107"/>
      <c r="BJ154" s="105"/>
      <c r="BK154" s="105"/>
      <c r="BL154" s="105"/>
      <c r="BM154" s="105"/>
      <c r="BN154" s="105"/>
      <c r="BO154" s="105"/>
      <c r="BP154" s="18"/>
      <c r="BQ154" s="18"/>
      <c r="BR154" s="18"/>
      <c r="BS154" s="18"/>
    </row>
    <row r="155" spans="55:71" ht="6.75" customHeight="1">
      <c r="BC155" s="18"/>
      <c r="BD155" s="106"/>
      <c r="BE155" s="277"/>
      <c r="BF155" s="277"/>
      <c r="BG155" s="277"/>
      <c r="BH155" s="277"/>
      <c r="BI155" s="107"/>
      <c r="BJ155" s="105"/>
      <c r="BK155" s="105"/>
      <c r="BL155" s="105"/>
      <c r="BM155" s="105"/>
      <c r="BN155" s="105"/>
      <c r="BO155" s="105"/>
      <c r="BP155" s="18"/>
      <c r="BQ155" s="18"/>
      <c r="BR155" s="18"/>
      <c r="BS155" s="18"/>
    </row>
    <row r="156" spans="55:71" ht="12.75">
      <c r="BC156" s="278" t="s">
        <v>236</v>
      </c>
      <c r="BD156" s="278"/>
      <c r="BE156" s="278"/>
      <c r="BF156" s="278"/>
      <c r="BG156" s="278"/>
      <c r="BH156" s="278"/>
      <c r="BI156" s="278"/>
      <c r="BJ156" s="278"/>
      <c r="BK156" s="278"/>
      <c r="BL156" s="278"/>
      <c r="BM156" s="278"/>
      <c r="BN156" s="278"/>
      <c r="BO156" s="278"/>
      <c r="BP156" s="278"/>
      <c r="BQ156" s="278"/>
      <c r="BR156" s="278"/>
      <c r="BS156" s="278"/>
    </row>
    <row r="157" ht="6.75" customHeight="1"/>
    <row r="159" ht="6.75" customHeight="1"/>
    <row r="160" ht="12" customHeight="1">
      <c r="BC160" t="str">
        <f>CE519</f>
        <v>2. Servisní nastavení regulátoru</v>
      </c>
    </row>
    <row r="161" ht="6.75" customHeight="1"/>
    <row r="162" ht="12" customHeight="1">
      <c r="BD162" t="str">
        <f>CF521</f>
        <v>2.1. Parametry regulace</v>
      </c>
    </row>
    <row r="163" ht="6.75" customHeight="1"/>
    <row r="164" spans="55:71" ht="12" customHeight="1">
      <c r="BC164" s="146"/>
      <c r="BD164" s="146"/>
      <c r="BE164" s="146" t="str">
        <f>CH522</f>
        <v>počet skupin</v>
      </c>
      <c r="BF164" s="146"/>
      <c r="BG164" s="146"/>
      <c r="BH164" s="146"/>
      <c r="BI164" s="146"/>
      <c r="BJ164" s="146"/>
      <c r="BK164" s="152">
        <f>CO522</f>
        <v>1</v>
      </c>
      <c r="BL164" s="146"/>
      <c r="BM164" s="146" t="str">
        <f>CR522</f>
        <v>derivační konstanta</v>
      </c>
      <c r="BN164" s="146"/>
      <c r="BO164" s="146"/>
      <c r="BP164" s="146"/>
      <c r="BQ164" s="152">
        <f>CY522</f>
        <v>50</v>
      </c>
      <c r="BR164" s="146"/>
      <c r="BS164" s="146"/>
    </row>
    <row r="165" ht="6.75" customHeight="1"/>
    <row r="166" spans="57:69" ht="12" customHeight="1">
      <c r="BE166" t="str">
        <f>CH524</f>
        <v>dimenze skupin</v>
      </c>
      <c r="BK166" s="143">
        <f>CO524</f>
        <v>1</v>
      </c>
      <c r="BM166" t="str">
        <f>CR524</f>
        <v>integrační konstanta</v>
      </c>
      <c r="BQ166" s="143">
        <f>CY524</f>
        <v>5</v>
      </c>
    </row>
    <row r="167" ht="6.75" customHeight="1"/>
    <row r="168" spans="55:71" ht="12" customHeight="1">
      <c r="BC168" s="146"/>
      <c r="BD168" s="146"/>
      <c r="BE168" s="146" t="str">
        <f>CH526</f>
        <v>časová konstanta</v>
      </c>
      <c r="BF168" s="146"/>
      <c r="BG168" s="146"/>
      <c r="BH168" s="146"/>
      <c r="BI168" s="146"/>
      <c r="BJ168" s="146"/>
      <c r="BK168" s="152">
        <f>CO526</f>
        <v>5</v>
      </c>
      <c r="BL168" s="146"/>
      <c r="BM168" s="146" t="str">
        <f>CR526</f>
        <v>poplachová odchylka</v>
      </c>
      <c r="BN168" s="146"/>
      <c r="BO168" s="146"/>
      <c r="BP168" s="146"/>
      <c r="BQ168" s="152">
        <f>CY526</f>
        <v>20</v>
      </c>
      <c r="BR168" s="146"/>
      <c r="BS168" s="146"/>
    </row>
    <row r="169" ht="6.75" customHeight="1"/>
    <row r="170" spans="57:69" ht="12" customHeight="1">
      <c r="BE170" t="str">
        <f>CH528</f>
        <v>dovolená odchylka</v>
      </c>
      <c r="BK170" s="143">
        <f>CO528</f>
        <v>5</v>
      </c>
      <c r="BM170" t="str">
        <f>CR528</f>
        <v>dovolené zpoždění</v>
      </c>
      <c r="BQ170" s="143">
        <f>CY528</f>
        <v>0</v>
      </c>
    </row>
    <row r="171" ht="6.75" customHeight="1"/>
    <row r="172" spans="55:71" ht="12" customHeight="1">
      <c r="BC172" s="146"/>
      <c r="BD172" s="146"/>
      <c r="BE172" s="146" t="str">
        <f>CH530</f>
        <v>proporcionalní konst.</v>
      </c>
      <c r="BF172" s="146"/>
      <c r="BG172" s="146"/>
      <c r="BH172" s="146"/>
      <c r="BI172" s="146"/>
      <c r="BJ172" s="146"/>
      <c r="BK172" s="152">
        <f>CO530</f>
        <v>100</v>
      </c>
      <c r="BL172" s="146"/>
      <c r="BM172" s="146" t="str">
        <f>CR530</f>
        <v>typ regulace</v>
      </c>
      <c r="BN172" s="146"/>
      <c r="BO172" s="146"/>
      <c r="BP172" s="146"/>
      <c r="BQ172" s="174" t="str">
        <f>CY530</f>
        <v>PD&amp;I</v>
      </c>
      <c r="BR172" s="146"/>
      <c r="BS172" s="146"/>
    </row>
    <row r="173" ht="6.75" customHeight="1"/>
    <row r="174" spans="56:71" ht="6.75" customHeight="1"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</row>
    <row r="175" ht="12" customHeight="1">
      <c r="BD175" t="str">
        <f>CF533</f>
        <v>2.2. Nastavení pásem</v>
      </c>
    </row>
    <row r="176" ht="6.75" customHeight="1"/>
    <row r="177" spans="55:72" ht="12" customHeight="1">
      <c r="BC177" s="146"/>
      <c r="BD177" s="146"/>
      <c r="BE177" s="146" t="s">
        <v>112</v>
      </c>
      <c r="BF177" s="146"/>
      <c r="BG177" s="146"/>
      <c r="BH177" s="146"/>
      <c r="BI177" s="192">
        <v>1</v>
      </c>
      <c r="BJ177" s="192"/>
      <c r="BK177" s="151"/>
      <c r="BL177" s="192">
        <v>2</v>
      </c>
      <c r="BM177" s="192"/>
      <c r="BN177" s="151"/>
      <c r="BO177" s="192">
        <v>3</v>
      </c>
      <c r="BP177" s="192"/>
      <c r="BQ177" s="151"/>
      <c r="BR177" s="192">
        <v>4</v>
      </c>
      <c r="BS177" s="192"/>
      <c r="BT177" s="44"/>
    </row>
    <row r="178" ht="6.75" customHeight="1"/>
    <row r="179" spans="57:71" ht="12" customHeight="1">
      <c r="BE179" t="str">
        <f>CH536</f>
        <v>funkce</v>
      </c>
      <c r="BI179" s="194" t="str">
        <f>VLOOKUP(Y46-1,S46:U55,2)</f>
        <v>nepoužito</v>
      </c>
      <c r="BJ179" s="194"/>
      <c r="BL179" s="194" t="str">
        <f>VLOOKUP(Y47-1,S46:U55,2)</f>
        <v>nepoužito</v>
      </c>
      <c r="BM179" s="194"/>
      <c r="BO179" s="194" t="str">
        <f>VLOOKUP(Y48-1,S46:U55,2)</f>
        <v>nepoužito</v>
      </c>
      <c r="BP179" s="194"/>
      <c r="BR179" s="194" t="str">
        <f>VLOOKUP(Y49-1,S46:U55,2)</f>
        <v>nepoužito</v>
      </c>
      <c r="BS179" s="194"/>
    </row>
    <row r="180" ht="6.75" customHeight="1"/>
    <row r="181" spans="55:71" ht="12" customHeight="1">
      <c r="BC181" s="146"/>
      <c r="BD181" s="146"/>
      <c r="BE181" s="146" t="str">
        <f>CH539</f>
        <v>čidlo</v>
      </c>
      <c r="BF181" s="146"/>
      <c r="BG181" s="146"/>
      <c r="BH181" s="146"/>
      <c r="BI181" s="192">
        <f>CL539</f>
        <v>0</v>
      </c>
      <c r="BJ181" s="192"/>
      <c r="BK181" s="146"/>
      <c r="BL181" s="192">
        <f>CP539</f>
        <v>0</v>
      </c>
      <c r="BM181" s="192"/>
      <c r="BN181" s="146"/>
      <c r="BO181" s="192">
        <f>CT539</f>
        <v>0</v>
      </c>
      <c r="BP181" s="192"/>
      <c r="BQ181" s="146"/>
      <c r="BR181" s="192">
        <f>CX539</f>
        <v>0</v>
      </c>
      <c r="BS181" s="192"/>
    </row>
    <row r="182" ht="6.75" customHeight="1"/>
    <row r="183" spans="57:72" ht="12" customHeight="1">
      <c r="BE183" t="str">
        <f>CH541</f>
        <v>min. hod.</v>
      </c>
      <c r="BI183" s="194">
        <f>CL541</f>
        <v>0</v>
      </c>
      <c r="BJ183" s="194"/>
      <c r="BK183" t="s">
        <v>251</v>
      </c>
      <c r="BL183" s="194">
        <f>CP541</f>
        <v>0</v>
      </c>
      <c r="BM183" s="194"/>
      <c r="BN183" t="s">
        <v>251</v>
      </c>
      <c r="BO183" s="194">
        <f>CT541</f>
        <v>0</v>
      </c>
      <c r="BP183" s="194"/>
      <c r="BQ183" t="s">
        <v>251</v>
      </c>
      <c r="BR183" s="194">
        <f>CX541</f>
        <v>0</v>
      </c>
      <c r="BS183" s="194"/>
      <c r="BT183" t="s">
        <v>251</v>
      </c>
    </row>
    <row r="184" ht="6.75" customHeight="1"/>
    <row r="185" spans="55:72" ht="12" customHeight="1">
      <c r="BC185" s="146"/>
      <c r="BD185" s="146"/>
      <c r="BE185" s="146" t="str">
        <f>CH543</f>
        <v>max. hod.</v>
      </c>
      <c r="BF185" s="146"/>
      <c r="BG185" s="146"/>
      <c r="BH185" s="146"/>
      <c r="BI185" s="192">
        <f>CL543</f>
        <v>0</v>
      </c>
      <c r="BJ185" s="192"/>
      <c r="BK185" s="146" t="s">
        <v>251</v>
      </c>
      <c r="BL185" s="192">
        <f>CP543</f>
        <v>0</v>
      </c>
      <c r="BM185" s="192"/>
      <c r="BN185" s="146" t="s">
        <v>251</v>
      </c>
      <c r="BO185" s="192">
        <f>CP543</f>
        <v>0</v>
      </c>
      <c r="BP185" s="192"/>
      <c r="BQ185" s="146" t="s">
        <v>251</v>
      </c>
      <c r="BR185" s="192">
        <f>CX543</f>
        <v>0</v>
      </c>
      <c r="BS185" s="192"/>
      <c r="BT185" t="s">
        <v>251</v>
      </c>
    </row>
    <row r="186" ht="6.75" customHeight="1"/>
    <row r="187" spans="57:72" ht="12" customHeight="1">
      <c r="BE187" t="str">
        <f>CH545</f>
        <v>start. hod.</v>
      </c>
      <c r="BI187" s="194">
        <f>CL545</f>
        <v>0</v>
      </c>
      <c r="BJ187" s="194"/>
      <c r="BK187" t="s">
        <v>251</v>
      </c>
      <c r="BL187" s="194">
        <f>CP545</f>
        <v>0</v>
      </c>
      <c r="BM187" s="194"/>
      <c r="BN187" t="s">
        <v>251</v>
      </c>
      <c r="BO187" s="194">
        <f>CT545</f>
        <v>0</v>
      </c>
      <c r="BP187" s="194"/>
      <c r="BQ187" t="s">
        <v>251</v>
      </c>
      <c r="BR187" s="194">
        <f>CX545</f>
        <v>0</v>
      </c>
      <c r="BS187" s="194"/>
      <c r="BT187" t="s">
        <v>251</v>
      </c>
    </row>
    <row r="188" ht="6.75" customHeight="1"/>
    <row r="189" spans="55:71" ht="12" customHeight="1">
      <c r="BC189" s="146"/>
      <c r="BD189" s="146"/>
      <c r="BE189" s="146" t="str">
        <f>CH547</f>
        <v>tisk/záznam</v>
      </c>
      <c r="BF189" s="146"/>
      <c r="BG189" s="146"/>
      <c r="BH189" s="146"/>
      <c r="BI189" s="147" t="str">
        <f>IF(O88,"ANO","NE")</f>
        <v>NE</v>
      </c>
      <c r="BJ189" s="147" t="str">
        <f>IF(O89,"ANO","NE")</f>
        <v>NE</v>
      </c>
      <c r="BK189" s="147"/>
      <c r="BL189" s="147" t="str">
        <f>IF(P88,"ANO","NE")</f>
        <v>NE</v>
      </c>
      <c r="BM189" s="147" t="str">
        <f>IF(P89,"ANO","NE")</f>
        <v>NE</v>
      </c>
      <c r="BN189" s="147"/>
      <c r="BO189" s="147" t="str">
        <f>IF(Q88,"ANO","NE")</f>
        <v>NE</v>
      </c>
      <c r="BP189" s="147" t="str">
        <f>IF(Q89,"ANO","NE")</f>
        <v>NE</v>
      </c>
      <c r="BQ189" s="147"/>
      <c r="BR189" s="147" t="str">
        <f>IF(R88,"ANO","NE")</f>
        <v>NE</v>
      </c>
      <c r="BS189" s="147" t="str">
        <f>IF(R89,"ANO","NE")</f>
        <v>NE</v>
      </c>
    </row>
    <row r="190" ht="6.75" customHeight="1"/>
    <row r="191" spans="57:71" ht="12" customHeight="1">
      <c r="BE191" t="str">
        <f>CH549</f>
        <v>dimenze par.</v>
      </c>
      <c r="BI191" s="194">
        <f>CL549</f>
        <v>0</v>
      </c>
      <c r="BJ191" s="194"/>
      <c r="BL191" s="194">
        <f>CP549</f>
        <v>0</v>
      </c>
      <c r="BM191" s="194"/>
      <c r="BO191" s="194">
        <f>CT549</f>
        <v>0</v>
      </c>
      <c r="BP191" s="194"/>
      <c r="BR191" s="194">
        <f>CX549</f>
        <v>0</v>
      </c>
      <c r="BS191" s="194"/>
    </row>
    <row r="192" ht="6.75" customHeight="1"/>
    <row r="193" spans="55:71" ht="12" customHeight="1">
      <c r="BC193" s="146"/>
      <c r="BD193" s="146"/>
      <c r="BE193" s="146" t="str">
        <f>CH551</f>
        <v>posun hodn.</v>
      </c>
      <c r="BF193" s="146"/>
      <c r="BG193" s="146"/>
      <c r="BH193" s="146"/>
      <c r="BI193" s="192">
        <f>CL551</f>
        <v>0</v>
      </c>
      <c r="BJ193" s="192"/>
      <c r="BK193" s="146"/>
      <c r="BL193" s="192">
        <f>CP551</f>
        <v>0</v>
      </c>
      <c r="BM193" s="192"/>
      <c r="BN193" s="146"/>
      <c r="BO193" s="192">
        <f>CT551</f>
        <v>0</v>
      </c>
      <c r="BP193" s="192"/>
      <c r="BQ193" s="146"/>
      <c r="BR193" s="192">
        <f>CX551</f>
        <v>0</v>
      </c>
      <c r="BS193" s="192"/>
    </row>
    <row r="194" ht="6.75" customHeight="1"/>
    <row r="195" spans="57:71" ht="12" customHeight="1">
      <c r="BE195" t="str">
        <f>CH553</f>
        <v>korekce TČ</v>
      </c>
      <c r="BI195" s="194" t="str">
        <f>IF(O92,"ANO","NE")</f>
        <v>NE</v>
      </c>
      <c r="BJ195" s="194"/>
      <c r="BL195" s="194" t="str">
        <f>IF(P92,"ANO","NE")</f>
        <v>NE</v>
      </c>
      <c r="BM195" s="194"/>
      <c r="BO195" s="194" t="str">
        <f>IF(Q92,"ANO","NE")</f>
        <v>NE</v>
      </c>
      <c r="BP195" s="194"/>
      <c r="BR195" s="194" t="str">
        <f>IF(R92,"ANO","NE")</f>
        <v>NE</v>
      </c>
      <c r="BS195" s="194"/>
    </row>
    <row r="196" ht="6.75" customHeight="1"/>
    <row r="197" spans="55:71" ht="12" customHeight="1">
      <c r="BC197" s="146"/>
      <c r="BD197" s="146"/>
      <c r="BE197" s="146" t="str">
        <f>CH555</f>
        <v>test přerušení TČ</v>
      </c>
      <c r="BF197" s="146"/>
      <c r="BG197" s="146"/>
      <c r="BH197" s="146"/>
      <c r="BI197" s="192" t="str">
        <f>IF(O93,"ANO","NE")</f>
        <v>NE</v>
      </c>
      <c r="BJ197" s="192"/>
      <c r="BK197" s="146"/>
      <c r="BL197" s="192" t="str">
        <f>IF(P93,"ANO","NE")</f>
        <v>NE</v>
      </c>
      <c r="BM197" s="192"/>
      <c r="BN197" s="146"/>
      <c r="BO197" s="192" t="str">
        <f>IF(Q93,"ANO","NE")</f>
        <v>NE</v>
      </c>
      <c r="BP197" s="192"/>
      <c r="BQ197" s="146"/>
      <c r="BR197" s="192" t="str">
        <f>IF(R93,"ANO","NE")</f>
        <v>NE</v>
      </c>
      <c r="BS197" s="192"/>
    </row>
    <row r="198" ht="6.75" customHeight="1"/>
    <row r="199" spans="57:71" ht="12" customHeight="1">
      <c r="BE199" t="str">
        <f>CH557</f>
        <v>kompenzace vedení</v>
      </c>
      <c r="BI199" s="194">
        <f>CL557</f>
        <v>0</v>
      </c>
      <c r="BJ199" s="194"/>
      <c r="BL199" s="194">
        <f>CP557</f>
        <v>0</v>
      </c>
      <c r="BM199" s="194"/>
      <c r="BO199" s="194">
        <f>CT557</f>
        <v>0</v>
      </c>
      <c r="BP199" s="194"/>
      <c r="BR199" s="194">
        <f>CX557</f>
        <v>0</v>
      </c>
      <c r="BS199" s="194"/>
    </row>
    <row r="200" ht="6.75" customHeight="1"/>
    <row r="201" spans="55:71" ht="12" customHeight="1">
      <c r="BC201" s="146"/>
      <c r="BD201" s="146"/>
      <c r="BE201" s="146" t="str">
        <f>CH559</f>
        <v>typ převodu</v>
      </c>
      <c r="BF201" s="146"/>
      <c r="BG201" s="146"/>
      <c r="BH201" s="146"/>
      <c r="BI201" s="192">
        <f>VLOOKUP(Y58-1,S57:U61,2)</f>
        <v>0</v>
      </c>
      <c r="BJ201" s="192"/>
      <c r="BK201" s="146"/>
      <c r="BL201" s="192">
        <f>VLOOKUP(Y59-1,S57:U61,2)</f>
        <v>0</v>
      </c>
      <c r="BM201" s="192"/>
      <c r="BN201" s="146"/>
      <c r="BO201" s="192">
        <f>VLOOKUP(Y60-1,S57:U61,2)</f>
        <v>0</v>
      </c>
      <c r="BP201" s="192"/>
      <c r="BQ201" s="146"/>
      <c r="BR201" s="192">
        <f>VLOOKUP(Y61-1,S57:U61,2)</f>
        <v>0</v>
      </c>
      <c r="BS201" s="192"/>
    </row>
    <row r="202" ht="6.75" customHeight="1"/>
    <row r="203" spans="56:71" ht="6.75" customHeight="1"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</row>
    <row r="204" ht="12" customHeight="1">
      <c r="BD204" t="str">
        <f>CF562</f>
        <v>2.3. Nastavení relé</v>
      </c>
    </row>
    <row r="205" ht="6.75" customHeight="1"/>
    <row r="206" spans="55:71" ht="12" customHeight="1">
      <c r="BC206" s="146"/>
      <c r="BD206" s="146"/>
      <c r="BE206" s="146" t="s">
        <v>129</v>
      </c>
      <c r="BF206" s="146"/>
      <c r="BG206" s="146"/>
      <c r="BH206" s="146"/>
      <c r="BI206" s="147" t="s">
        <v>130</v>
      </c>
      <c r="BJ206" s="147" t="s">
        <v>131</v>
      </c>
      <c r="BK206" s="147"/>
      <c r="BL206" s="147" t="s">
        <v>132</v>
      </c>
      <c r="BM206" s="147" t="s">
        <v>133</v>
      </c>
      <c r="BN206" s="147"/>
      <c r="BO206" s="147" t="s">
        <v>134</v>
      </c>
      <c r="BP206" s="147" t="s">
        <v>135</v>
      </c>
      <c r="BQ206" s="147"/>
      <c r="BR206" s="147" t="s">
        <v>136</v>
      </c>
      <c r="BS206" s="147" t="s">
        <v>137</v>
      </c>
    </row>
    <row r="207" ht="6.75" customHeight="1"/>
    <row r="208" spans="57:71" ht="48" customHeight="1">
      <c r="BE208" s="100" t="str">
        <f>CH565</f>
        <v>funkce</v>
      </c>
      <c r="BI208" s="144" t="str">
        <f>VLOOKUP(Y63-1,S63:U77,2)</f>
        <v>nepoužité</v>
      </c>
      <c r="BJ208" s="144" t="str">
        <f>VLOOKUP(Y64-1,S63:U77,2)</f>
        <v>nepoužité</v>
      </c>
      <c r="BK208" s="144"/>
      <c r="BL208" s="144" t="str">
        <f>VLOOKUP(Y65-1,S63:U77,2)</f>
        <v>nepoužité</v>
      </c>
      <c r="BM208" s="144" t="str">
        <f>VLOOKUP(Y66-1,S63:U77,2)</f>
        <v>nepoužité</v>
      </c>
      <c r="BN208" s="144"/>
      <c r="BO208" s="144" t="str">
        <f>VLOOKUP(Y67-1,S63:U77,2)</f>
        <v>nepoužité</v>
      </c>
      <c r="BP208" s="144" t="str">
        <f>VLOOKUP(Y67-1,S63:U77,2)</f>
        <v>nepoužité</v>
      </c>
      <c r="BQ208" s="144"/>
      <c r="BR208" s="144" t="str">
        <f>VLOOKUP(Y69-1,S63:U77,2)</f>
        <v>nepoužité</v>
      </c>
      <c r="BS208" s="144" t="str">
        <f>VLOOKUP(Y70-1,S63:U77,2)</f>
        <v>nepoužité</v>
      </c>
    </row>
    <row r="209" ht="6.75" customHeight="1"/>
    <row r="210" spans="55:71" ht="12" customHeight="1">
      <c r="BC210" s="146"/>
      <c r="BD210" s="146"/>
      <c r="BE210" s="146" t="str">
        <f>CH568</f>
        <v>řízeno pásmem</v>
      </c>
      <c r="BF210" s="146"/>
      <c r="BG210" s="146"/>
      <c r="BH210" s="146"/>
      <c r="BI210" s="147">
        <f>CL568</f>
        <v>1</v>
      </c>
      <c r="BJ210" s="147">
        <f>CN568</f>
        <v>2</v>
      </c>
      <c r="BK210" s="147"/>
      <c r="BL210" s="147">
        <f>CP568</f>
        <v>0</v>
      </c>
      <c r="BM210" s="147">
        <f>CR568</f>
        <v>0</v>
      </c>
      <c r="BN210" s="147"/>
      <c r="BO210" s="147">
        <f>CT568</f>
        <v>0</v>
      </c>
      <c r="BP210" s="147">
        <f>CV568</f>
        <v>0</v>
      </c>
      <c r="BQ210" s="147"/>
      <c r="BR210" s="147">
        <f>CX568</f>
        <v>0</v>
      </c>
      <c r="BS210" s="147">
        <f>CZ568</f>
        <v>0</v>
      </c>
    </row>
    <row r="211" ht="6.75" customHeight="1"/>
    <row r="212" spans="57:71" ht="12" customHeight="1">
      <c r="BE212" s="100" t="str">
        <f>CH570</f>
        <v>logika</v>
      </c>
      <c r="BI212" s="1" t="str">
        <f>IF(Y79=1,"R","S")</f>
        <v>R</v>
      </c>
      <c r="BJ212" s="1" t="str">
        <f>IF(Y80=1,"R","S")</f>
        <v>R</v>
      </c>
      <c r="BK212" s="144"/>
      <c r="BL212" s="1" t="str">
        <f>IF(Y81=1,"R","S")</f>
        <v>R</v>
      </c>
      <c r="BM212" s="1" t="str">
        <f>IF(Y82=1,"R","S")</f>
        <v>R</v>
      </c>
      <c r="BN212" s="144"/>
      <c r="BO212" s="1" t="str">
        <f>IF(Y83=1,"R","S")</f>
        <v>R</v>
      </c>
      <c r="BP212" s="1" t="str">
        <f>IF(Y84=1,"R","S")</f>
        <v>R</v>
      </c>
      <c r="BQ212" s="144"/>
      <c r="BR212" s="1" t="str">
        <f>IF(Y85=1,"R","S")</f>
        <v>R</v>
      </c>
      <c r="BS212" s="1" t="str">
        <f>IF(Y86=1,"R","S")</f>
        <v>R</v>
      </c>
    </row>
    <row r="213" ht="6.75" customHeight="1"/>
    <row r="214" spans="55:71" ht="12" customHeight="1">
      <c r="BC214" s="146"/>
      <c r="BD214" s="146"/>
      <c r="BE214" s="153" t="str">
        <f>CH574</f>
        <v>funkce serva</v>
      </c>
      <c r="BF214" s="146"/>
      <c r="BG214" s="146"/>
      <c r="BH214" s="146"/>
      <c r="BI214" s="147" t="str">
        <f>IF(Y88=1," ",IF(Y88=2,"N-N",IF(Y88=3,"N-P","P-P")))</f>
        <v> </v>
      </c>
      <c r="BJ214" s="147" t="str">
        <f>IF(Y89=1," ",IF(Y89=2,"N-N",IF(Y89=3,"N-P","P-P")))</f>
        <v> </v>
      </c>
      <c r="BK214" s="154"/>
      <c r="BL214" s="147" t="str">
        <f>IF(Y90=1," ",IF(Y90=2,"N-N",IF(Y90=3,"N-P","P-P")))</f>
        <v> </v>
      </c>
      <c r="BM214" s="147" t="str">
        <f>IF(Y91=1," ",IF(Y91=2,"N-N",IF(Y91=3,"N-P","P-P")))</f>
        <v> </v>
      </c>
      <c r="BN214" s="154"/>
      <c r="BO214" s="147" t="str">
        <f>IF(Y92=1," ",IF(Y92=2,"N-N",IF(Y92=3,"N-P","P-P")))</f>
        <v> </v>
      </c>
      <c r="BP214" s="147" t="str">
        <f>IF(Y93=1," ",IF(Y93=2,"N-N",IF(Y93=3,"N-P","P-P")))</f>
        <v> </v>
      </c>
      <c r="BQ214" s="154"/>
      <c r="BR214" s="147" t="str">
        <f>IF(Y94=1," ",IF(Y94=2,"N-N",IF(Y94=3,"N-P","P-P")))</f>
        <v> </v>
      </c>
      <c r="BS214" s="147" t="str">
        <f>IF(Y95=1," ",IF(Y95=2,"N-N",IF(Y95=3,"N-P","P-P")))</f>
        <v> </v>
      </c>
    </row>
    <row r="215" ht="6.75" customHeight="1"/>
    <row r="216" spans="57:71" ht="12" customHeight="1">
      <c r="BE216" t="str">
        <f>CH578</f>
        <v>kontrola proudu</v>
      </c>
      <c r="BI216" s="1" t="str">
        <f>IF(G88=1,"NE","ANO")</f>
        <v>NE</v>
      </c>
      <c r="BJ216" s="1" t="str">
        <f>IF(G89=1,"NE","ANO")</f>
        <v>NE</v>
      </c>
      <c r="BK216" s="1"/>
      <c r="BL216" s="1" t="str">
        <f>IF(G90=1,"NE","ANO")</f>
        <v>NE</v>
      </c>
      <c r="BM216" s="1" t="str">
        <f>IF(G91=1,"NE","ANO")</f>
        <v>NE</v>
      </c>
      <c r="BN216" s="1"/>
      <c r="BO216" s="1" t="str">
        <f>IF(G92=1,"NE","ANO")</f>
        <v>NE</v>
      </c>
      <c r="BP216" s="1" t="str">
        <f>IF(G93=1,"NE","ANO")</f>
        <v>NE</v>
      </c>
      <c r="BQ216" s="1"/>
      <c r="BR216" s="1" t="str">
        <f>IF(G94=1,"NE","ANO")</f>
        <v>NE</v>
      </c>
      <c r="BS216" s="1" t="str">
        <f>IF(G95=1,"NE","ANO")</f>
        <v>NE</v>
      </c>
    </row>
    <row r="217" ht="6.75" customHeight="1"/>
    <row r="218" spans="55:71" ht="12" customHeight="1">
      <c r="BC218" s="146"/>
      <c r="BD218" s="146"/>
      <c r="BE218" s="146" t="str">
        <f>CH581</f>
        <v>hystereze</v>
      </c>
      <c r="BF218" s="146"/>
      <c r="BG218" s="146"/>
      <c r="BH218" s="146"/>
      <c r="BI218" s="147">
        <f>CL581</f>
        <v>0</v>
      </c>
      <c r="BJ218" s="147">
        <f>CN581</f>
        <v>0</v>
      </c>
      <c r="BK218" s="147"/>
      <c r="BL218" s="147">
        <f>CP581</f>
        <v>0</v>
      </c>
      <c r="BM218" s="147">
        <f>CR581</f>
        <v>0</v>
      </c>
      <c r="BN218" s="147"/>
      <c r="BO218" s="147">
        <f>CT581</f>
        <v>0</v>
      </c>
      <c r="BP218" s="147">
        <f>CV581</f>
        <v>0</v>
      </c>
      <c r="BQ218" s="147"/>
      <c r="BR218" s="147">
        <f>CX581</f>
        <v>0</v>
      </c>
      <c r="BS218" s="147">
        <f>CZ581</f>
        <v>0</v>
      </c>
    </row>
    <row r="219" ht="6.75" customHeight="1"/>
    <row r="220" spans="56:71" ht="6.75" customHeight="1"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</row>
    <row r="221" ht="12" customHeight="1">
      <c r="BD221" t="str">
        <f>CF583</f>
        <v>2.4. Nastavení log. vstupů</v>
      </c>
    </row>
    <row r="222" ht="6.75" customHeight="1"/>
    <row r="223" spans="55:71" ht="12" customHeight="1">
      <c r="BC223" s="146"/>
      <c r="BD223" s="146"/>
      <c r="BE223" s="146" t="str">
        <f>CH585</f>
        <v>log. vstup</v>
      </c>
      <c r="BF223" s="146"/>
      <c r="BG223" s="146"/>
      <c r="BH223" s="146"/>
      <c r="BI223" s="192" t="str">
        <f>CL585</f>
        <v>LI 1</v>
      </c>
      <c r="BJ223" s="192"/>
      <c r="BK223" s="147"/>
      <c r="BL223" s="192" t="str">
        <f>CP585</f>
        <v>LI 2</v>
      </c>
      <c r="BM223" s="192"/>
      <c r="BN223" s="147"/>
      <c r="BO223" s="192" t="str">
        <f>CT585</f>
        <v>LI 3</v>
      </c>
      <c r="BP223" s="192"/>
      <c r="BQ223" s="147"/>
      <c r="BR223" s="192" t="str">
        <f>CX585</f>
        <v>LI4</v>
      </c>
      <c r="BS223" s="192"/>
    </row>
    <row r="224" ht="6.75" customHeight="1"/>
    <row r="225" spans="57:71" ht="12" customHeight="1">
      <c r="BE225" t="str">
        <f>CH587</f>
        <v>funkce</v>
      </c>
      <c r="BI225" s="194" t="str">
        <f>VLOOKUP(G97-1,E97:F101,2)</f>
        <v>nepoužit</v>
      </c>
      <c r="BJ225" s="194"/>
      <c r="BL225" s="194" t="str">
        <f>VLOOKUP(G98-1,E97:F101,2)</f>
        <v>nepoužit</v>
      </c>
      <c r="BM225" s="194"/>
      <c r="BO225" s="194" t="str">
        <f>VLOOKUP(G99-1,E97:F101,2)</f>
        <v>nepoužit</v>
      </c>
      <c r="BP225" s="194"/>
      <c r="BR225" s="194" t="str">
        <f>VLOOKUP(G100-1,E97:F101,2)</f>
        <v>nepoužit</v>
      </c>
      <c r="BS225" s="194"/>
    </row>
    <row r="226" ht="6.75" customHeight="1"/>
    <row r="227" spans="55:71" ht="12" customHeight="1">
      <c r="BC227" s="146"/>
      <c r="BD227" s="146"/>
      <c r="BE227" s="146" t="str">
        <f>CH589</f>
        <v>logika</v>
      </c>
      <c r="BF227" s="146"/>
      <c r="BG227" s="146"/>
      <c r="BH227" s="146"/>
      <c r="BI227" s="192" t="str">
        <f>VLOOKUP(Q79,S79:T80,2)</f>
        <v>rozepnuto</v>
      </c>
      <c r="BJ227" s="192"/>
      <c r="BK227" s="146"/>
      <c r="BL227" s="192" t="str">
        <f>VLOOKUP(Q80,S79:T80,2)</f>
        <v>rozepnuto</v>
      </c>
      <c r="BM227" s="192"/>
      <c r="BN227" s="146"/>
      <c r="BO227" s="192" t="str">
        <f>VLOOKUP(Q81,S79:T80,2)</f>
        <v>rozepnuto</v>
      </c>
      <c r="BP227" s="192"/>
      <c r="BQ227" s="146"/>
      <c r="BR227" s="192" t="str">
        <f>VLOOKUP(Q82,S79:T80,2)</f>
        <v>rozepnuto</v>
      </c>
      <c r="BS227" s="192"/>
    </row>
    <row r="228" ht="6.75" customHeight="1"/>
    <row r="229" spans="56:71" ht="6.75" customHeight="1"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</row>
    <row r="230" ht="12" customHeight="1">
      <c r="BD230" t="str">
        <f>CF593</f>
        <v>2.5. Nastavení analogových výstupů</v>
      </c>
    </row>
    <row r="231" ht="6.75" customHeight="1"/>
    <row r="232" spans="55:71" ht="12" customHeight="1">
      <c r="BC232" s="146"/>
      <c r="BD232" s="146"/>
      <c r="BE232" s="146" t="str">
        <f>CH595</f>
        <v>výstup</v>
      </c>
      <c r="BF232" s="146"/>
      <c r="BG232" s="146"/>
      <c r="BH232" s="146"/>
      <c r="BI232" s="192" t="str">
        <f>CL595</f>
        <v>AO 1</v>
      </c>
      <c r="BJ232" s="192"/>
      <c r="BK232" s="147"/>
      <c r="BL232" s="192" t="str">
        <f>CP595</f>
        <v>AO 2</v>
      </c>
      <c r="BM232" s="192"/>
      <c r="BN232" s="147"/>
      <c r="BO232" s="192" t="str">
        <f>CT595</f>
        <v>AO 3</v>
      </c>
      <c r="BP232" s="192"/>
      <c r="BQ232" s="147"/>
      <c r="BR232" s="192" t="str">
        <f>CX595</f>
        <v>AO 4</v>
      </c>
      <c r="BS232" s="192"/>
    </row>
    <row r="233" ht="6.75" customHeight="1"/>
    <row r="234" spans="57:71" ht="12" customHeight="1">
      <c r="BE234" t="str">
        <f>CH597</f>
        <v>funkce</v>
      </c>
      <c r="BI234" s="194" t="str">
        <f>VLOOKUP(G104-1,E104:F108,2)</f>
        <v>nepoužité</v>
      </c>
      <c r="BJ234" s="194"/>
      <c r="BL234" s="194" t="str">
        <f>VLOOKUP(G105-1,E104:F108,2)</f>
        <v>nepoužité</v>
      </c>
      <c r="BM234" s="194"/>
      <c r="BO234" s="194" t="str">
        <f>VLOOKUP(G106-1,E104:F108,2)</f>
        <v>nepoužité</v>
      </c>
      <c r="BP234" s="194"/>
      <c r="BR234" s="194" t="str">
        <f>VLOOKUP(G107-1,E104:F108,2)</f>
        <v>nepoužité</v>
      </c>
      <c r="BS234" s="194"/>
    </row>
    <row r="235" ht="6.75" customHeight="1"/>
    <row r="236" spans="55:71" ht="12" customHeight="1">
      <c r="BC236" s="146"/>
      <c r="BD236" s="146"/>
      <c r="BE236" s="146" t="str">
        <f>CH601</f>
        <v>řízen pásmem</v>
      </c>
      <c r="BF236" s="146"/>
      <c r="BG236" s="146"/>
      <c r="BH236" s="146"/>
      <c r="BI236" s="192">
        <f>CL601</f>
        <v>0</v>
      </c>
      <c r="BJ236" s="192"/>
      <c r="BK236" s="146"/>
      <c r="BL236" s="192">
        <f>CP601</f>
        <v>0</v>
      </c>
      <c r="BM236" s="192"/>
      <c r="BN236" s="146"/>
      <c r="BO236" s="192">
        <f>CT601</f>
        <v>0</v>
      </c>
      <c r="BP236" s="192"/>
      <c r="BQ236" s="146"/>
      <c r="BR236" s="192">
        <f>CX601</f>
        <v>0</v>
      </c>
      <c r="BS236" s="192"/>
    </row>
    <row r="237" ht="6.75" customHeight="1"/>
    <row r="238" spans="56:71" ht="6.75" customHeight="1"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</row>
    <row r="239" ht="12" customHeight="1">
      <c r="BD239" t="str">
        <f>CF604</f>
        <v>2.6. Servisní nastavení parametrů</v>
      </c>
    </row>
    <row r="240" ht="6.75" customHeight="1"/>
    <row r="241" spans="55:72" ht="12" customHeight="1">
      <c r="BC241" s="146"/>
      <c r="BD241" s="146"/>
      <c r="BE241" s="146" t="str">
        <f>CH606</f>
        <v>typ programu</v>
      </c>
      <c r="BF241" s="146"/>
      <c r="BG241" s="146"/>
      <c r="BH241" s="146"/>
      <c r="BI241" s="192" t="str">
        <f>VLOOKUP(Q97,M97:N98,2)</f>
        <v>pouze čas</v>
      </c>
      <c r="BJ241" s="192"/>
      <c r="BK241" s="192"/>
      <c r="BL241" s="146"/>
      <c r="BM241" s="146" t="str">
        <f>CR606</f>
        <v>zpoždění kontrol</v>
      </c>
      <c r="BN241" s="146"/>
      <c r="BO241" s="146"/>
      <c r="BP241" s="146"/>
      <c r="BQ241" s="192">
        <f>CV606</f>
        <v>0</v>
      </c>
      <c r="BR241" s="192"/>
      <c r="BS241" s="192"/>
      <c r="BT241" t="s">
        <v>249</v>
      </c>
    </row>
    <row r="242" ht="12" customHeight="1"/>
    <row r="243" spans="57:72" ht="12" customHeight="1">
      <c r="BE243" t="str">
        <f>CH608</f>
        <v>jednotky času</v>
      </c>
      <c r="BI243" s="194" t="str">
        <f>VLOOKUP(Q101,M101:N102,2)</f>
        <v>minuty (h:m)</v>
      </c>
      <c r="BJ243" s="194"/>
      <c r="BK243" s="194"/>
      <c r="BM243" s="29" t="str">
        <f>CR608</f>
        <v>zpoždění relé</v>
      </c>
      <c r="BQ243" s="194">
        <f>CV608</f>
        <v>0</v>
      </c>
      <c r="BR243" s="194"/>
      <c r="BS243" s="194"/>
      <c r="BT243" t="s">
        <v>249</v>
      </c>
    </row>
    <row r="244" ht="12" customHeight="1"/>
    <row r="245" spans="55:71" ht="12" customHeight="1">
      <c r="BC245" s="146"/>
      <c r="BD245" s="146"/>
      <c r="BE245" s="146" t="str">
        <f>CH610</f>
        <v>trvání poruch</v>
      </c>
      <c r="BF245" s="146"/>
      <c r="BG245" s="146"/>
      <c r="BH245" s="146"/>
      <c r="BI245" s="192">
        <f>CL610</f>
        <v>0</v>
      </c>
      <c r="BJ245" s="192"/>
      <c r="BK245" s="192"/>
      <c r="BL245" s="193" t="s">
        <v>250</v>
      </c>
      <c r="BM245" s="193"/>
      <c r="BN245" s="146"/>
      <c r="BO245" s="192"/>
      <c r="BP245" s="192"/>
      <c r="BQ245" s="146"/>
      <c r="BR245" s="192"/>
      <c r="BS245" s="192"/>
    </row>
    <row r="246" ht="6.75" customHeight="1"/>
    <row r="247" spans="56:71" ht="6.75" customHeight="1"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</row>
    <row r="248" ht="12" customHeight="1">
      <c r="BD248" t="str">
        <f>CF613</f>
        <v>2.7. Kontrola fází</v>
      </c>
    </row>
    <row r="249" ht="6.75" customHeight="1"/>
    <row r="250" spans="55:71" ht="12" customHeight="1">
      <c r="BC250" s="146"/>
      <c r="BD250" s="146"/>
      <c r="BE250" s="146" t="s">
        <v>242</v>
      </c>
      <c r="BF250" s="146"/>
      <c r="BG250" s="146"/>
      <c r="BH250" s="146"/>
      <c r="BI250" s="192" t="str">
        <f>IF(Q104,"ANO","NE")</f>
        <v>NE</v>
      </c>
      <c r="BJ250" s="192"/>
      <c r="BK250" s="192"/>
      <c r="BL250" s="146"/>
      <c r="BM250" s="146"/>
      <c r="BN250" s="146"/>
      <c r="BO250" s="146"/>
      <c r="BP250" s="146"/>
      <c r="BQ250" s="146"/>
      <c r="BR250" s="146"/>
      <c r="BS250" s="146"/>
    </row>
    <row r="251" ht="6.75" customHeight="1"/>
    <row r="252" spans="56:71" ht="6.75" customHeight="1"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</row>
    <row r="253" ht="12" customHeight="1">
      <c r="BD253" t="str">
        <f>CF618</f>
        <v>2.8. Nastavení komunikace</v>
      </c>
    </row>
    <row r="254" ht="6.75" customHeight="1"/>
    <row r="255" spans="55:71" ht="12" customHeight="1">
      <c r="BC255" s="146"/>
      <c r="BD255" s="146"/>
      <c r="BE255" s="146" t="str">
        <f>CH620</f>
        <v>síťová adresa</v>
      </c>
      <c r="BF255" s="146"/>
      <c r="BG255" s="146"/>
      <c r="BH255" s="146"/>
      <c r="BI255" s="192">
        <f>CL620</f>
        <v>0</v>
      </c>
      <c r="BJ255" s="192"/>
      <c r="BK255" s="192"/>
      <c r="BL255" s="146"/>
      <c r="BM255" s="193" t="str">
        <f>CR620</f>
        <v>komunik. rychlost</v>
      </c>
      <c r="BN255" s="193"/>
      <c r="BO255" s="193"/>
      <c r="BP255" s="146"/>
      <c r="BQ255" s="192" t="str">
        <f>VLOOKUP(Q106,M106:O111,2)</f>
        <v>2400 bd</v>
      </c>
      <c r="BR255" s="192"/>
      <c r="BS255" s="192"/>
    </row>
    <row r="256" ht="6.75" customHeight="1"/>
    <row r="257" spans="56:71" ht="6.75" customHeight="1"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</row>
    <row r="258" ht="12" customHeight="1">
      <c r="BD258" t="str">
        <f>CF623</f>
        <v>2.9. Nastavení tiskárny</v>
      </c>
    </row>
    <row r="259" ht="6.75" customHeight="1"/>
    <row r="260" spans="55:71" ht="12" customHeight="1">
      <c r="BC260" s="146"/>
      <c r="BD260" s="146"/>
      <c r="BE260" s="146" t="str">
        <f>CH625</f>
        <v>typ komunikace</v>
      </c>
      <c r="BF260" s="146"/>
      <c r="BG260" s="146"/>
      <c r="BH260" s="146"/>
      <c r="BI260" s="192">
        <f>CL625</f>
        <v>0</v>
      </c>
      <c r="BJ260" s="192"/>
      <c r="BK260" s="192"/>
      <c r="BL260" s="146"/>
      <c r="BM260" s="148" t="str">
        <f>CR625</f>
        <v>komunik. rychlost</v>
      </c>
      <c r="BN260" s="146"/>
      <c r="BO260" s="146"/>
      <c r="BP260" s="146"/>
      <c r="BQ260" s="192" t="str">
        <f>VLOOKUP(Q107,M106:O111,2)</f>
        <v>2400 bd</v>
      </c>
      <c r="BR260" s="192"/>
      <c r="BS260" s="192"/>
    </row>
    <row r="261" ht="6.75" customHeight="1"/>
    <row r="262" spans="56:71" ht="6.75" customHeight="1"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</row>
    <row r="263" ht="12" customHeight="1">
      <c r="BD263" t="str">
        <f>CF628</f>
        <v>2.10. Nastavení programu</v>
      </c>
    </row>
    <row r="264" ht="6.75" customHeight="1"/>
    <row r="265" spans="55:71" ht="12" customHeight="1">
      <c r="BC265" s="146"/>
      <c r="BD265" s="146"/>
      <c r="BE265" s="146" t="str">
        <f>CH630</f>
        <v>doba výpadku</v>
      </c>
      <c r="BF265" s="146"/>
      <c r="BG265" s="146"/>
      <c r="BH265" s="146"/>
      <c r="BI265" s="192">
        <f>CL630</f>
        <v>0</v>
      </c>
      <c r="BJ265" s="192"/>
      <c r="BK265" s="192"/>
      <c r="BL265" s="146" t="s">
        <v>252</v>
      </c>
      <c r="BM265" s="193" t="str">
        <f>CR630</f>
        <v>zvuk signalizace</v>
      </c>
      <c r="BN265" s="193"/>
      <c r="BO265" s="193"/>
      <c r="BP265" s="146"/>
      <c r="BQ265" s="192" t="str">
        <f>IF(Y108,"ANO","NE")</f>
        <v>NE</v>
      </c>
      <c r="BR265" s="192"/>
      <c r="BS265" s="192"/>
    </row>
    <row r="266" ht="6.75" customHeight="1"/>
    <row r="267" spans="57:71" ht="12" customHeight="1">
      <c r="BE267" t="str">
        <f>CH632</f>
        <v>zobrazovat</v>
      </c>
      <c r="BI267" s="194" t="str">
        <f>VLOOKUP(Y99,S99:T101,2)</f>
        <v>čas</v>
      </c>
      <c r="BJ267" s="194"/>
      <c r="BK267" s="194"/>
      <c r="BM267" s="191" t="str">
        <f>CR632</f>
        <v>zaznamenávat</v>
      </c>
      <c r="BN267" s="191"/>
      <c r="BO267" s="191"/>
      <c r="BQ267" s="194" t="str">
        <f>VLOOKUP(Y110,S110:T111,2)</f>
        <v>vše</v>
      </c>
      <c r="BR267" s="194"/>
      <c r="BS267" s="194"/>
    </row>
    <row r="268" ht="6.75" customHeight="1"/>
    <row r="269" spans="55:72" ht="12" customHeight="1">
      <c r="BC269" s="146"/>
      <c r="BD269" s="146"/>
      <c r="BE269" s="146" t="str">
        <f>CH634</f>
        <v>ukončení prg.</v>
      </c>
      <c r="BF269" s="146"/>
      <c r="BG269" s="146"/>
      <c r="BH269" s="146"/>
      <c r="BI269" s="192" t="str">
        <f>VLOOKUP(Y104,S104:T106,2)</f>
        <v>řízený pokles</v>
      </c>
      <c r="BJ269" s="192"/>
      <c r="BK269" s="192"/>
      <c r="BL269" s="146"/>
      <c r="BM269" s="193" t="str">
        <f>CR634</f>
        <v>intervál záznamu</v>
      </c>
      <c r="BN269" s="193"/>
      <c r="BO269" s="193"/>
      <c r="BP269" s="146"/>
      <c r="BQ269" s="192">
        <f>CV634</f>
        <v>0</v>
      </c>
      <c r="BR269" s="192"/>
      <c r="BS269" s="192"/>
      <c r="BT269" t="s">
        <v>250</v>
      </c>
    </row>
    <row r="270" ht="6.75" customHeight="1"/>
    <row r="271" spans="57:71" ht="12" customHeight="1">
      <c r="BE271" t="str">
        <f>CH636</f>
        <v>spouštět opakov.</v>
      </c>
      <c r="BI271" s="194" t="str">
        <f>IF(G110,"ANO","NE")</f>
        <v>NE</v>
      </c>
      <c r="BJ271" s="194"/>
      <c r="BK271" s="194"/>
      <c r="BM271" s="191" t="str">
        <f>CR636</f>
        <v>tisknout</v>
      </c>
      <c r="BN271" s="191"/>
      <c r="BO271" s="191"/>
      <c r="BQ271" s="194" t="str">
        <f>VLOOKUP(Y111,S110:T111,2)</f>
        <v>vše</v>
      </c>
      <c r="BR271" s="194"/>
      <c r="BS271" s="194"/>
    </row>
    <row r="272" ht="6.75" customHeight="1"/>
    <row r="273" spans="56:71" ht="6.75" customHeight="1"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</row>
    <row r="274" ht="12" customHeight="1"/>
    <row r="275" ht="6.75" customHeight="1"/>
    <row r="276" spans="55:71" ht="12" customHeight="1">
      <c r="BC276" t="str">
        <f>CE641</f>
        <v>3. Poznámky</v>
      </c>
      <c r="BD276" s="12"/>
      <c r="BE276" s="12"/>
      <c r="BF276" s="12"/>
      <c r="BG276" s="12"/>
      <c r="BH276" s="12"/>
      <c r="BI276" s="186"/>
      <c r="BJ276" s="186"/>
      <c r="BK276" s="186"/>
      <c r="BL276" s="189"/>
      <c r="BM276" s="189"/>
      <c r="BN276" s="189"/>
      <c r="BO276" s="189"/>
      <c r="BP276" s="189"/>
      <c r="BQ276" s="189"/>
      <c r="BR276" s="189"/>
      <c r="BS276" s="12"/>
    </row>
    <row r="277" ht="6.75" customHeight="1"/>
    <row r="278" spans="56:71" ht="12" customHeight="1">
      <c r="BD278" s="195">
        <f>CH643</f>
        <v>0</v>
      </c>
      <c r="BE278" s="195"/>
      <c r="BF278" s="195"/>
      <c r="BG278" s="195"/>
      <c r="BH278" s="195"/>
      <c r="BI278" s="195"/>
      <c r="BJ278" s="195"/>
      <c r="BK278" s="195"/>
      <c r="BL278" s="195"/>
      <c r="BM278" s="195"/>
      <c r="BN278" s="195"/>
      <c r="BO278" s="195"/>
      <c r="BP278" s="195"/>
      <c r="BQ278" s="195"/>
      <c r="BR278" s="195"/>
      <c r="BS278" s="195"/>
    </row>
    <row r="279" spans="56:71" ht="12" customHeight="1">
      <c r="BD279" s="195"/>
      <c r="BE279" s="195"/>
      <c r="BF279" s="195"/>
      <c r="BG279" s="195"/>
      <c r="BH279" s="195"/>
      <c r="BI279" s="195"/>
      <c r="BJ279" s="195"/>
      <c r="BK279" s="195"/>
      <c r="BL279" s="195"/>
      <c r="BM279" s="195"/>
      <c r="BN279" s="195"/>
      <c r="BO279" s="195"/>
      <c r="BP279" s="195"/>
      <c r="BQ279" s="195"/>
      <c r="BR279" s="195"/>
      <c r="BS279" s="195"/>
    </row>
    <row r="280" spans="56:71" ht="6.75" customHeight="1">
      <c r="BD280" s="195"/>
      <c r="BE280" s="195"/>
      <c r="BF280" s="195"/>
      <c r="BG280" s="195"/>
      <c r="BH280" s="195"/>
      <c r="BI280" s="195"/>
      <c r="BJ280" s="195"/>
      <c r="BK280" s="195"/>
      <c r="BL280" s="195"/>
      <c r="BM280" s="195"/>
      <c r="BN280" s="195"/>
      <c r="BO280" s="195"/>
      <c r="BP280" s="195"/>
      <c r="BQ280" s="195"/>
      <c r="BR280" s="195"/>
      <c r="BS280" s="195"/>
    </row>
    <row r="281" spans="56:71" ht="6.75" customHeight="1">
      <c r="BD281" s="195"/>
      <c r="BE281" s="195"/>
      <c r="BF281" s="195"/>
      <c r="BG281" s="195"/>
      <c r="BH281" s="195"/>
      <c r="BI281" s="195"/>
      <c r="BJ281" s="195"/>
      <c r="BK281" s="195"/>
      <c r="BL281" s="195"/>
      <c r="BM281" s="195"/>
      <c r="BN281" s="195"/>
      <c r="BO281" s="195"/>
      <c r="BP281" s="195"/>
      <c r="BQ281" s="195"/>
      <c r="BR281" s="195"/>
      <c r="BS281" s="195"/>
    </row>
    <row r="282" ht="12" customHeight="1"/>
    <row r="283" spans="55:71" ht="6.75" customHeight="1"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</row>
    <row r="284" ht="12" customHeight="1"/>
    <row r="285" ht="12" customHeight="1"/>
    <row r="286" spans="55:57" ht="12" customHeight="1">
      <c r="BC286" s="141" t="s">
        <v>37</v>
      </c>
      <c r="BD286" s="190">
        <f ca="1">TODAY()</f>
        <v>40626</v>
      </c>
      <c r="BE286" s="191"/>
    </row>
    <row r="287" ht="6.75" customHeight="1"/>
    <row r="288" spans="66:71" ht="12" customHeight="1">
      <c r="BN288" s="145"/>
      <c r="BO288" s="145"/>
      <c r="BP288" s="145"/>
      <c r="BQ288" s="145"/>
      <c r="BR288" s="145"/>
      <c r="BS288" s="145"/>
    </row>
    <row r="289" spans="66:71" ht="12" customHeight="1">
      <c r="BN289" s="194" t="s">
        <v>38</v>
      </c>
      <c r="BO289" s="194"/>
      <c r="BP289" s="194"/>
      <c r="BQ289" s="194"/>
      <c r="BR289" s="194"/>
      <c r="BS289" s="194"/>
    </row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519" spans="83:110" ht="12.75">
      <c r="CE519" s="246" t="s">
        <v>172</v>
      </c>
      <c r="CF519" s="246"/>
      <c r="CG519" s="246"/>
      <c r="CH519" s="246"/>
      <c r="CI519" s="246"/>
      <c r="CJ519" s="246"/>
      <c r="CK519" s="246"/>
      <c r="CL519" s="246"/>
      <c r="CM519" s="246"/>
      <c r="CN519" s="246"/>
      <c r="DF519" s="72"/>
    </row>
    <row r="520" spans="85:110" ht="12.75">
      <c r="CG520" s="71"/>
      <c r="CH520" s="71"/>
      <c r="CI520" s="1"/>
      <c r="CL520" s="1"/>
      <c r="CM520" s="1"/>
      <c r="CN520" s="1"/>
      <c r="DF520" s="72"/>
    </row>
    <row r="521" spans="84:110" ht="12.75">
      <c r="CF521" s="255" t="s">
        <v>173</v>
      </c>
      <c r="CG521" s="255"/>
      <c r="CH521" s="255"/>
      <c r="CI521" s="255"/>
      <c r="CJ521" s="255"/>
      <c r="CK521" s="255"/>
      <c r="CL521" s="255"/>
      <c r="CM521" s="255"/>
      <c r="CN521" s="255"/>
      <c r="DF521" s="72"/>
    </row>
    <row r="522" spans="85:103" ht="12.75">
      <c r="CG522" s="71"/>
      <c r="CH522" s="260" t="s">
        <v>96</v>
      </c>
      <c r="CI522" s="260"/>
      <c r="CJ522" s="260"/>
      <c r="CK522" s="260"/>
      <c r="CL522" s="260"/>
      <c r="CM522" s="260"/>
      <c r="CN522" s="260"/>
      <c r="CO522" s="274">
        <v>1</v>
      </c>
      <c r="CP522" s="135"/>
      <c r="CQ522" s="135"/>
      <c r="CR522" s="260" t="s">
        <v>100</v>
      </c>
      <c r="CS522" s="260"/>
      <c r="CT522" s="260"/>
      <c r="CU522" s="260"/>
      <c r="CV522" s="260"/>
      <c r="CW522" s="260"/>
      <c r="CX522" s="260"/>
      <c r="CY522" s="262">
        <v>50</v>
      </c>
    </row>
    <row r="523" spans="85:103" ht="12.75">
      <c r="CG523" s="71"/>
      <c r="CH523" s="260"/>
      <c r="CI523" s="260"/>
      <c r="CJ523" s="260"/>
      <c r="CK523" s="260"/>
      <c r="CL523" s="260"/>
      <c r="CM523" s="260"/>
      <c r="CN523" s="260"/>
      <c r="CO523" s="274"/>
      <c r="CP523" s="135"/>
      <c r="CQ523" s="135"/>
      <c r="CR523" s="260"/>
      <c r="CS523" s="260"/>
      <c r="CT523" s="260"/>
      <c r="CU523" s="260"/>
      <c r="CV523" s="260"/>
      <c r="CW523" s="260"/>
      <c r="CX523" s="260"/>
      <c r="CY523" s="263"/>
    </row>
    <row r="524" spans="85:103" ht="12.75">
      <c r="CG524" s="71"/>
      <c r="CH524" s="260" t="s">
        <v>97</v>
      </c>
      <c r="CI524" s="260"/>
      <c r="CJ524" s="260"/>
      <c r="CK524" s="260"/>
      <c r="CL524" s="260"/>
      <c r="CM524" s="260"/>
      <c r="CN524" s="260"/>
      <c r="CO524" s="274">
        <v>1</v>
      </c>
      <c r="CP524" s="135"/>
      <c r="CQ524" s="135"/>
      <c r="CR524" s="260" t="s">
        <v>101</v>
      </c>
      <c r="CS524" s="260"/>
      <c r="CT524" s="260"/>
      <c r="CU524" s="260"/>
      <c r="CV524" s="260"/>
      <c r="CW524" s="260"/>
      <c r="CX524" s="260"/>
      <c r="CY524" s="262">
        <v>5</v>
      </c>
    </row>
    <row r="525" spans="85:103" ht="12.75">
      <c r="CG525" s="71"/>
      <c r="CH525" s="260"/>
      <c r="CI525" s="260"/>
      <c r="CJ525" s="260"/>
      <c r="CK525" s="260"/>
      <c r="CL525" s="260"/>
      <c r="CM525" s="260"/>
      <c r="CN525" s="260"/>
      <c r="CO525" s="274"/>
      <c r="CP525" s="135"/>
      <c r="CQ525" s="135"/>
      <c r="CR525" s="260"/>
      <c r="CS525" s="260"/>
      <c r="CT525" s="260"/>
      <c r="CU525" s="260"/>
      <c r="CV525" s="260"/>
      <c r="CW525" s="260"/>
      <c r="CX525" s="260"/>
      <c r="CY525" s="263"/>
    </row>
    <row r="526" spans="85:103" ht="12.75">
      <c r="CG526" s="71"/>
      <c r="CH526" s="260" t="s">
        <v>98</v>
      </c>
      <c r="CI526" s="260"/>
      <c r="CJ526" s="260"/>
      <c r="CK526" s="260"/>
      <c r="CL526" s="260"/>
      <c r="CM526" s="260"/>
      <c r="CN526" s="260"/>
      <c r="CO526" s="274">
        <v>5</v>
      </c>
      <c r="CP526" s="135"/>
      <c r="CQ526" s="135"/>
      <c r="CR526" s="260" t="s">
        <v>102</v>
      </c>
      <c r="CS526" s="260"/>
      <c r="CT526" s="260"/>
      <c r="CU526" s="260"/>
      <c r="CV526" s="260"/>
      <c r="CW526" s="260"/>
      <c r="CX526" s="260"/>
      <c r="CY526" s="262">
        <v>20</v>
      </c>
    </row>
    <row r="527" spans="85:103" ht="12.75">
      <c r="CG527" s="71"/>
      <c r="CH527" s="260"/>
      <c r="CI527" s="260"/>
      <c r="CJ527" s="260"/>
      <c r="CK527" s="260"/>
      <c r="CL527" s="260"/>
      <c r="CM527" s="260"/>
      <c r="CN527" s="260"/>
      <c r="CO527" s="274"/>
      <c r="CP527" s="135"/>
      <c r="CQ527" s="135"/>
      <c r="CR527" s="260"/>
      <c r="CS527" s="260"/>
      <c r="CT527" s="260"/>
      <c r="CU527" s="260"/>
      <c r="CV527" s="260"/>
      <c r="CW527" s="260"/>
      <c r="CX527" s="260"/>
      <c r="CY527" s="263"/>
    </row>
    <row r="528" spans="85:103" ht="12.75">
      <c r="CG528" s="71"/>
      <c r="CH528" s="260" t="s">
        <v>99</v>
      </c>
      <c r="CI528" s="260"/>
      <c r="CJ528" s="260"/>
      <c r="CK528" s="260"/>
      <c r="CL528" s="260"/>
      <c r="CM528" s="260"/>
      <c r="CN528" s="260"/>
      <c r="CO528" s="274">
        <v>5</v>
      </c>
      <c r="CP528" s="135"/>
      <c r="CQ528" s="135"/>
      <c r="CR528" s="260" t="s">
        <v>103</v>
      </c>
      <c r="CS528" s="260"/>
      <c r="CT528" s="260"/>
      <c r="CU528" s="260"/>
      <c r="CV528" s="260"/>
      <c r="CW528" s="260"/>
      <c r="CX528" s="260"/>
      <c r="CY528" s="262">
        <v>0</v>
      </c>
    </row>
    <row r="529" spans="85:103" ht="12.75">
      <c r="CG529" s="71"/>
      <c r="CH529" s="260"/>
      <c r="CI529" s="260"/>
      <c r="CJ529" s="260"/>
      <c r="CK529" s="260"/>
      <c r="CL529" s="260"/>
      <c r="CM529" s="260"/>
      <c r="CN529" s="260"/>
      <c r="CO529" s="274"/>
      <c r="CP529" s="135"/>
      <c r="CQ529" s="135"/>
      <c r="CR529" s="260"/>
      <c r="CS529" s="260"/>
      <c r="CT529" s="260"/>
      <c r="CU529" s="260"/>
      <c r="CV529" s="260"/>
      <c r="CW529" s="260"/>
      <c r="CX529" s="260"/>
      <c r="CY529" s="263"/>
    </row>
    <row r="530" spans="85:110" ht="12.75">
      <c r="CG530" s="71"/>
      <c r="CH530" s="260" t="s">
        <v>237</v>
      </c>
      <c r="CI530" s="260"/>
      <c r="CJ530" s="260"/>
      <c r="CK530" s="260"/>
      <c r="CL530" s="260"/>
      <c r="CM530" s="260"/>
      <c r="CN530" s="260"/>
      <c r="CO530" s="274">
        <v>100</v>
      </c>
      <c r="CP530" s="135"/>
      <c r="CQ530" s="135"/>
      <c r="CR530" s="260" t="s">
        <v>104</v>
      </c>
      <c r="CS530" s="260"/>
      <c r="CT530" s="260"/>
      <c r="CU530" s="260"/>
      <c r="CV530" s="260"/>
      <c r="CW530" s="260"/>
      <c r="CX530" s="260"/>
      <c r="CY530" s="262" t="s">
        <v>108</v>
      </c>
      <c r="DF530" s="261"/>
    </row>
    <row r="531" spans="85:110" ht="12.75">
      <c r="CG531" s="71"/>
      <c r="CH531" s="260"/>
      <c r="CI531" s="260"/>
      <c r="CJ531" s="260"/>
      <c r="CK531" s="260"/>
      <c r="CL531" s="260"/>
      <c r="CM531" s="260"/>
      <c r="CN531" s="260"/>
      <c r="CO531" s="274"/>
      <c r="CP531" s="135"/>
      <c r="CQ531" s="135"/>
      <c r="CR531" s="260"/>
      <c r="CS531" s="260"/>
      <c r="CT531" s="260"/>
      <c r="CU531" s="260"/>
      <c r="CV531" s="260"/>
      <c r="CW531" s="260"/>
      <c r="CX531" s="260"/>
      <c r="CY531" s="263"/>
      <c r="DF531" s="261"/>
    </row>
    <row r="532" spans="85:110" ht="12.75">
      <c r="CG532" s="71"/>
      <c r="CH532" s="71"/>
      <c r="CI532" s="1"/>
      <c r="CL532" s="1"/>
      <c r="CM532" s="1"/>
      <c r="CN532" s="1"/>
      <c r="DF532" s="72"/>
    </row>
    <row r="533" spans="84:110" ht="12.75">
      <c r="CF533" s="272" t="s">
        <v>174</v>
      </c>
      <c r="CG533" s="272"/>
      <c r="CH533" s="272"/>
      <c r="CI533" s="272"/>
      <c r="CJ533" s="272"/>
      <c r="CK533" s="272"/>
      <c r="CL533" s="272"/>
      <c r="CM533" s="272"/>
      <c r="CN533" s="272"/>
      <c r="CO533" s="44"/>
      <c r="DF533" s="72"/>
    </row>
    <row r="534" spans="85:110" ht="12.75">
      <c r="CG534" s="71"/>
      <c r="CH534" s="134"/>
      <c r="CI534" s="134"/>
      <c r="CL534" s="194">
        <v>1</v>
      </c>
      <c r="CM534" s="194"/>
      <c r="CN534" s="194"/>
      <c r="CO534" s="44"/>
      <c r="CP534" s="194">
        <v>2</v>
      </c>
      <c r="CQ534" s="194"/>
      <c r="CR534" s="194"/>
      <c r="CT534" s="194">
        <v>3</v>
      </c>
      <c r="CU534" s="194"/>
      <c r="CV534" s="194"/>
      <c r="CX534" s="194">
        <v>4</v>
      </c>
      <c r="CY534" s="194"/>
      <c r="CZ534" s="194"/>
      <c r="DF534" s="72"/>
    </row>
    <row r="535" spans="85:110" ht="3" customHeight="1">
      <c r="CG535" s="71"/>
      <c r="CH535" s="133"/>
      <c r="CI535" s="133"/>
      <c r="CL535" s="44"/>
      <c r="CM535" s="1"/>
      <c r="CN535" s="1"/>
      <c r="CO535" s="44"/>
      <c r="CP535" s="1"/>
      <c r="CQ535" s="1"/>
      <c r="CR535" s="44"/>
      <c r="CS535" s="1"/>
      <c r="CT535" s="1"/>
      <c r="CV535" s="1"/>
      <c r="CW535" s="1"/>
      <c r="DF535" s="72"/>
    </row>
    <row r="536" spans="85:110" ht="12.75">
      <c r="CG536" s="71"/>
      <c r="CH536" s="271" t="s">
        <v>113</v>
      </c>
      <c r="CI536" s="271"/>
      <c r="CJ536" s="271"/>
      <c r="CL536" s="1"/>
      <c r="CM536" s="194"/>
      <c r="CN536" s="194"/>
      <c r="CP536" s="194"/>
      <c r="CQ536" s="194"/>
      <c r="CS536" s="194"/>
      <c r="CT536" s="194"/>
      <c r="CV536" s="194"/>
      <c r="CW536" s="194"/>
      <c r="DF536" s="72"/>
    </row>
    <row r="537" spans="85:110" ht="12.75">
      <c r="CG537" s="71"/>
      <c r="CH537" s="271"/>
      <c r="CI537" s="271"/>
      <c r="CJ537" s="271"/>
      <c r="CL537" s="1"/>
      <c r="CM537" s="1"/>
      <c r="CN537" s="1"/>
      <c r="DF537" s="72"/>
    </row>
    <row r="538" spans="85:110" ht="12.75">
      <c r="CG538" s="71"/>
      <c r="CH538" s="71"/>
      <c r="CI538" s="1"/>
      <c r="CL538" s="1"/>
      <c r="CM538" s="1"/>
      <c r="CN538" s="1"/>
      <c r="DF538" s="72"/>
    </row>
    <row r="539" spans="82:110" ht="12.75">
      <c r="CD539" s="18"/>
      <c r="CE539" s="18"/>
      <c r="CF539" s="18"/>
      <c r="CG539" s="18"/>
      <c r="CH539" s="253" t="s">
        <v>114</v>
      </c>
      <c r="CI539" s="253"/>
      <c r="CJ539" s="253"/>
      <c r="CK539" s="254"/>
      <c r="CL539" s="248"/>
      <c r="CM539" s="249"/>
      <c r="CN539" s="250"/>
      <c r="CP539" s="248"/>
      <c r="CQ539" s="249"/>
      <c r="CR539" s="250"/>
      <c r="CT539" s="248"/>
      <c r="CU539" s="249"/>
      <c r="CV539" s="250"/>
      <c r="CX539" s="248"/>
      <c r="CY539" s="249"/>
      <c r="CZ539" s="250"/>
      <c r="DF539" s="72"/>
    </row>
    <row r="540" spans="82:110" ht="12.75">
      <c r="CD540" s="18"/>
      <c r="CE540" s="18"/>
      <c r="CF540" s="18"/>
      <c r="CG540" s="18"/>
      <c r="CH540" s="71"/>
      <c r="CI540" s="1"/>
      <c r="CL540" s="1"/>
      <c r="CM540" s="1"/>
      <c r="CN540" s="1"/>
      <c r="DF540" s="72"/>
    </row>
    <row r="541" spans="85:110" ht="12.75">
      <c r="CG541" s="71"/>
      <c r="CH541" s="253" t="s">
        <v>115</v>
      </c>
      <c r="CI541" s="253"/>
      <c r="CJ541" s="253"/>
      <c r="CL541" s="248"/>
      <c r="CM541" s="249"/>
      <c r="CN541" s="250"/>
      <c r="CO541" t="s">
        <v>251</v>
      </c>
      <c r="CP541" s="248"/>
      <c r="CQ541" s="249"/>
      <c r="CR541" s="250"/>
      <c r="CS541" t="s">
        <v>251</v>
      </c>
      <c r="CT541" s="248"/>
      <c r="CU541" s="249"/>
      <c r="CV541" s="250"/>
      <c r="CW541" t="s">
        <v>251</v>
      </c>
      <c r="CX541" s="248"/>
      <c r="CY541" s="249"/>
      <c r="CZ541" s="250"/>
      <c r="DA541" t="s">
        <v>251</v>
      </c>
      <c r="DF541" s="72"/>
    </row>
    <row r="542" spans="85:110" ht="12.75">
      <c r="CG542" s="71"/>
      <c r="CH542" s="71"/>
      <c r="CI542" s="1"/>
      <c r="CL542" s="1"/>
      <c r="CM542" s="1"/>
      <c r="CN542" s="1"/>
      <c r="DF542" s="72"/>
    </row>
    <row r="543" spans="85:110" ht="12.75">
      <c r="CG543" s="71"/>
      <c r="CH543" s="253" t="s">
        <v>116</v>
      </c>
      <c r="CI543" s="253"/>
      <c r="CJ543" s="253"/>
      <c r="CL543" s="248"/>
      <c r="CM543" s="249"/>
      <c r="CN543" s="250"/>
      <c r="CO543" t="s">
        <v>251</v>
      </c>
      <c r="CP543" s="248"/>
      <c r="CQ543" s="249"/>
      <c r="CR543" s="250"/>
      <c r="CS543" t="s">
        <v>251</v>
      </c>
      <c r="CT543" s="248"/>
      <c r="CU543" s="249"/>
      <c r="CV543" s="250"/>
      <c r="CW543" t="s">
        <v>251</v>
      </c>
      <c r="CX543" s="248"/>
      <c r="CY543" s="249"/>
      <c r="CZ543" s="250"/>
      <c r="DA543" t="s">
        <v>251</v>
      </c>
      <c r="DF543" s="72"/>
    </row>
    <row r="544" spans="85:110" ht="12.75">
      <c r="CG544" s="71"/>
      <c r="CH544" s="71"/>
      <c r="CI544" s="1"/>
      <c r="CL544" s="1"/>
      <c r="CM544" s="1"/>
      <c r="CN544" s="1"/>
      <c r="DF544" s="72"/>
    </row>
    <row r="545" spans="85:110" ht="12.75">
      <c r="CG545" s="71"/>
      <c r="CH545" s="253" t="s">
        <v>117</v>
      </c>
      <c r="CI545" s="253"/>
      <c r="CJ545" s="253"/>
      <c r="CL545" s="248"/>
      <c r="CM545" s="249"/>
      <c r="CN545" s="250"/>
      <c r="CO545" t="s">
        <v>251</v>
      </c>
      <c r="CP545" s="248"/>
      <c r="CQ545" s="249"/>
      <c r="CR545" s="250"/>
      <c r="CS545" t="s">
        <v>251</v>
      </c>
      <c r="CT545" s="248"/>
      <c r="CU545" s="249"/>
      <c r="CV545" s="250"/>
      <c r="CW545" t="s">
        <v>251</v>
      </c>
      <c r="CX545" s="248"/>
      <c r="CY545" s="249"/>
      <c r="CZ545" s="250"/>
      <c r="DA545" t="s">
        <v>251</v>
      </c>
      <c r="DF545" s="72"/>
    </row>
    <row r="546" spans="85:110" ht="12.75">
      <c r="CG546" s="71"/>
      <c r="CH546" s="71"/>
      <c r="CI546" s="1"/>
      <c r="CL546" s="1"/>
      <c r="CM546" s="1"/>
      <c r="CN546" s="1"/>
      <c r="DF546" s="72"/>
    </row>
    <row r="547" spans="85:110" ht="12.75">
      <c r="CG547" s="71"/>
      <c r="CH547" s="253" t="s">
        <v>118</v>
      </c>
      <c r="CI547" s="253"/>
      <c r="CJ547" s="253"/>
      <c r="CK547" s="253"/>
      <c r="CL547" s="1"/>
      <c r="CM547" s="1"/>
      <c r="CN547" s="1"/>
      <c r="DF547" s="72"/>
    </row>
    <row r="548" spans="85:110" ht="12.75">
      <c r="CG548" s="71"/>
      <c r="CH548" s="71"/>
      <c r="CI548" s="1"/>
      <c r="CL548" s="1"/>
      <c r="CM548" s="1"/>
      <c r="CN548" s="1"/>
      <c r="DF548" s="72"/>
    </row>
    <row r="549" spans="85:110" ht="12.75">
      <c r="CG549" s="71"/>
      <c r="CH549" s="253" t="s">
        <v>119</v>
      </c>
      <c r="CI549" s="253"/>
      <c r="CJ549" s="253"/>
      <c r="CK549" s="254"/>
      <c r="CL549" s="248"/>
      <c r="CM549" s="249"/>
      <c r="CN549" s="250"/>
      <c r="CP549" s="248"/>
      <c r="CQ549" s="249"/>
      <c r="CR549" s="250"/>
      <c r="CT549" s="248"/>
      <c r="CU549" s="249"/>
      <c r="CV549" s="250"/>
      <c r="CX549" s="248"/>
      <c r="CY549" s="249"/>
      <c r="CZ549" s="250"/>
      <c r="DF549" s="72"/>
    </row>
    <row r="550" spans="85:110" ht="12.75">
      <c r="CG550" s="71"/>
      <c r="CH550" s="71"/>
      <c r="CI550" s="1"/>
      <c r="CL550" s="1"/>
      <c r="CM550" s="1"/>
      <c r="CN550" s="1"/>
      <c r="DF550" s="72"/>
    </row>
    <row r="551" spans="85:110" ht="12.75">
      <c r="CG551" s="71"/>
      <c r="CH551" s="253" t="s">
        <v>120</v>
      </c>
      <c r="CI551" s="253"/>
      <c r="CJ551" s="253"/>
      <c r="CK551" s="254"/>
      <c r="CL551" s="248"/>
      <c r="CM551" s="249"/>
      <c r="CN551" s="250"/>
      <c r="CP551" s="248"/>
      <c r="CQ551" s="249"/>
      <c r="CR551" s="250"/>
      <c r="CT551" s="248"/>
      <c r="CU551" s="249"/>
      <c r="CV551" s="250"/>
      <c r="CX551" s="248"/>
      <c r="CY551" s="249"/>
      <c r="CZ551" s="250"/>
      <c r="DF551" s="72"/>
    </row>
    <row r="552" spans="85:110" ht="12.75">
      <c r="CG552" s="71"/>
      <c r="CH552" s="71"/>
      <c r="CI552" s="1"/>
      <c r="CL552" s="1"/>
      <c r="CM552" s="1"/>
      <c r="CN552" s="1"/>
      <c r="DF552" s="72"/>
    </row>
    <row r="553" spans="85:110" ht="12.75">
      <c r="CG553" s="71"/>
      <c r="CH553" s="253" t="s">
        <v>121</v>
      </c>
      <c r="CI553" s="253"/>
      <c r="CJ553" s="253"/>
      <c r="CK553" s="266"/>
      <c r="CL553" s="54"/>
      <c r="CM553" s="54"/>
      <c r="CN553" s="54"/>
      <c r="CP553" s="54"/>
      <c r="CQ553" s="54"/>
      <c r="CR553" s="54"/>
      <c r="CT553" s="54"/>
      <c r="CU553" s="54"/>
      <c r="CV553" s="54"/>
      <c r="CX553" s="54"/>
      <c r="CY553" s="54"/>
      <c r="CZ553" s="54"/>
      <c r="DF553" s="72"/>
    </row>
    <row r="554" spans="85:110" ht="12.75">
      <c r="CG554" s="71"/>
      <c r="CH554" s="71"/>
      <c r="CI554" s="1"/>
      <c r="CL554" s="1"/>
      <c r="CM554" s="1"/>
      <c r="CN554" s="1"/>
      <c r="DF554" s="72"/>
    </row>
    <row r="555" spans="85:110" ht="12.75">
      <c r="CG555" s="71"/>
      <c r="CH555" s="253" t="s">
        <v>122</v>
      </c>
      <c r="CI555" s="253"/>
      <c r="CJ555" s="253"/>
      <c r="CK555" s="253"/>
      <c r="CL555" s="1"/>
      <c r="CM555" s="1"/>
      <c r="CN555" s="1"/>
      <c r="DF555" s="72"/>
    </row>
    <row r="556" spans="85:110" ht="12.75">
      <c r="CG556" s="71"/>
      <c r="CH556" s="71"/>
      <c r="CI556" s="1"/>
      <c r="CL556" s="1"/>
      <c r="CM556" s="1"/>
      <c r="CN556" s="1"/>
      <c r="DF556" s="72"/>
    </row>
    <row r="557" spans="85:110" ht="12.75">
      <c r="CG557" s="71"/>
      <c r="CH557" s="253" t="s">
        <v>123</v>
      </c>
      <c r="CI557" s="253"/>
      <c r="CJ557" s="253"/>
      <c r="CK557" s="254"/>
      <c r="CL557" s="248"/>
      <c r="CM557" s="249"/>
      <c r="CN557" s="250"/>
      <c r="CP557" s="248"/>
      <c r="CQ557" s="249"/>
      <c r="CR557" s="250"/>
      <c r="CT557" s="248"/>
      <c r="CU557" s="249"/>
      <c r="CV557" s="250"/>
      <c r="CX557" s="248"/>
      <c r="CY557" s="249"/>
      <c r="CZ557" s="250"/>
      <c r="DF557" s="72"/>
    </row>
    <row r="558" spans="85:110" ht="12.75">
      <c r="CG558" s="71"/>
      <c r="CH558" s="71"/>
      <c r="CI558" s="1"/>
      <c r="CL558" s="1"/>
      <c r="CM558" s="1"/>
      <c r="CN558" s="1"/>
      <c r="DF558" s="72"/>
    </row>
    <row r="559" spans="85:110" ht="12.75">
      <c r="CG559" s="71"/>
      <c r="CH559" s="253" t="s">
        <v>124</v>
      </c>
      <c r="CI559" s="253"/>
      <c r="CJ559" s="253"/>
      <c r="CK559" s="253"/>
      <c r="CL559" s="1"/>
      <c r="CM559" s="301"/>
      <c r="CN559" s="302"/>
      <c r="CP559" s="258"/>
      <c r="CQ559" s="259"/>
      <c r="CT559" s="136"/>
      <c r="CU559" s="137"/>
      <c r="CX559" s="258"/>
      <c r="CY559" s="259"/>
      <c r="DF559" s="72"/>
    </row>
    <row r="560" spans="85:110" ht="12.75">
      <c r="CG560" s="71"/>
      <c r="CH560" s="71"/>
      <c r="CI560" s="1"/>
      <c r="CL560" s="1"/>
      <c r="CM560" s="1"/>
      <c r="CN560" s="1"/>
      <c r="DF560" s="72"/>
    </row>
    <row r="561" spans="85:110" ht="12.75">
      <c r="CG561" s="71"/>
      <c r="CH561" s="255"/>
      <c r="CI561" s="255"/>
      <c r="CL561" s="1"/>
      <c r="CM561" s="1"/>
      <c r="CN561" s="1"/>
      <c r="DF561" s="72"/>
    </row>
    <row r="562" spans="84:110" ht="12.75">
      <c r="CF562" s="255" t="s">
        <v>175</v>
      </c>
      <c r="CG562" s="255"/>
      <c r="CH562" s="255"/>
      <c r="CI562" s="255"/>
      <c r="CJ562" s="255"/>
      <c r="CK562" s="255"/>
      <c r="CL562" s="255"/>
      <c r="CM562" s="255"/>
      <c r="CN562" s="255"/>
      <c r="DF562" s="72"/>
    </row>
    <row r="563" spans="86:110" ht="12.75">
      <c r="CH563" s="247" t="s">
        <v>129</v>
      </c>
      <c r="CI563" s="247"/>
      <c r="CJ563" s="247"/>
      <c r="CL563" s="194" t="s">
        <v>130</v>
      </c>
      <c r="CM563" s="194"/>
      <c r="CN563" s="194" t="s">
        <v>131</v>
      </c>
      <c r="CO563" s="194"/>
      <c r="CP563" s="194" t="s">
        <v>132</v>
      </c>
      <c r="CQ563" s="194"/>
      <c r="CR563" s="194" t="s">
        <v>133</v>
      </c>
      <c r="CS563" s="194"/>
      <c r="CT563" s="194" t="s">
        <v>134</v>
      </c>
      <c r="CU563" s="194"/>
      <c r="CV563" s="194" t="s">
        <v>135</v>
      </c>
      <c r="CW563" s="194"/>
      <c r="CX563" s="194" t="s">
        <v>136</v>
      </c>
      <c r="CY563" s="194"/>
      <c r="CZ563" s="194" t="s">
        <v>137</v>
      </c>
      <c r="DA563" s="194"/>
      <c r="DF563" s="72"/>
    </row>
    <row r="564" spans="85:110" ht="12.75">
      <c r="CG564" s="71"/>
      <c r="CH564" s="71"/>
      <c r="CI564" s="1"/>
      <c r="CL564" s="1"/>
      <c r="CM564" s="1"/>
      <c r="CN564" s="1"/>
      <c r="DF564" s="72"/>
    </row>
    <row r="565" spans="85:110" ht="12.75">
      <c r="CG565" s="71"/>
      <c r="CH565" s="257" t="s">
        <v>113</v>
      </c>
      <c r="CI565" s="257"/>
      <c r="CJ565" s="257"/>
      <c r="CL565" s="1"/>
      <c r="CM565" s="1"/>
      <c r="CN565" s="1"/>
      <c r="DF565" s="72"/>
    </row>
    <row r="566" spans="86:88" ht="12.75">
      <c r="CH566" s="257"/>
      <c r="CI566" s="257"/>
      <c r="CJ566" s="257"/>
    </row>
    <row r="567" ht="12.75"/>
    <row r="568" spans="86:105" ht="12.75">
      <c r="CH568" s="247" t="s">
        <v>152</v>
      </c>
      <c r="CI568" s="247"/>
      <c r="CJ568" s="247"/>
      <c r="CK568" s="247"/>
      <c r="CL568" s="248">
        <v>1</v>
      </c>
      <c r="CM568" s="250"/>
      <c r="CN568" s="248">
        <v>2</v>
      </c>
      <c r="CO568" s="250"/>
      <c r="CP568" s="248"/>
      <c r="CQ568" s="250"/>
      <c r="CR568" s="248"/>
      <c r="CS568" s="250"/>
      <c r="CT568" s="248"/>
      <c r="CU568" s="250"/>
      <c r="CV568" s="248"/>
      <c r="CW568" s="250"/>
      <c r="CX568" s="248"/>
      <c r="CY568" s="250"/>
      <c r="CZ568" s="248"/>
      <c r="DA568" s="250"/>
    </row>
    <row r="569" ht="12.75"/>
    <row r="570" spans="86:88" ht="12.75">
      <c r="CH570" s="257" t="s">
        <v>153</v>
      </c>
      <c r="CI570" s="257"/>
      <c r="CJ570" s="257"/>
    </row>
    <row r="571" spans="86:88" ht="12.75">
      <c r="CH571" s="257"/>
      <c r="CI571" s="257"/>
      <c r="CJ571" s="257"/>
    </row>
    <row r="572" ht="12.75"/>
    <row r="573" ht="12.75"/>
    <row r="574" spans="86:89" ht="12.75">
      <c r="CH574" s="256" t="s">
        <v>168</v>
      </c>
      <c r="CI574" s="256"/>
      <c r="CJ574" s="256"/>
      <c r="CK574" s="257"/>
    </row>
    <row r="575" spans="86:89" ht="12.75">
      <c r="CH575" s="256"/>
      <c r="CI575" s="256"/>
      <c r="CJ575" s="256"/>
      <c r="CK575" s="257"/>
    </row>
    <row r="576" ht="12.75"/>
    <row r="577" ht="12.75"/>
    <row r="578" spans="86:89" ht="12.75">
      <c r="CH578" s="256" t="s">
        <v>241</v>
      </c>
      <c r="CI578" s="256"/>
      <c r="CJ578" s="256"/>
      <c r="CK578" s="257"/>
    </row>
    <row r="579" spans="86:89" ht="12.75">
      <c r="CH579" s="256"/>
      <c r="CI579" s="256"/>
      <c r="CJ579" s="256"/>
      <c r="CK579" s="257"/>
    </row>
    <row r="580" ht="12.75"/>
    <row r="581" spans="86:105" ht="12.75">
      <c r="CH581" s="247" t="s">
        <v>171</v>
      </c>
      <c r="CI581" s="247"/>
      <c r="CJ581" s="247"/>
      <c r="CL581" s="248"/>
      <c r="CM581" s="250"/>
      <c r="CN581" s="248"/>
      <c r="CO581" s="250"/>
      <c r="CP581" s="248"/>
      <c r="CQ581" s="250"/>
      <c r="CR581" s="248"/>
      <c r="CS581" s="250"/>
      <c r="CT581" s="248"/>
      <c r="CU581" s="250"/>
      <c r="CV581" s="248"/>
      <c r="CW581" s="250"/>
      <c r="CX581" s="248"/>
      <c r="CY581" s="250"/>
      <c r="CZ581" s="248"/>
      <c r="DA581" s="250"/>
    </row>
    <row r="583" spans="84:92" ht="12.75">
      <c r="CF583" s="191" t="s">
        <v>176</v>
      </c>
      <c r="CG583" s="191"/>
      <c r="CH583" s="191"/>
      <c r="CI583" s="191"/>
      <c r="CJ583" s="191"/>
      <c r="CK583" s="191"/>
      <c r="CL583" s="191"/>
      <c r="CM583" s="191"/>
      <c r="CN583" s="191"/>
    </row>
    <row r="585" spans="86:105" ht="12.75">
      <c r="CH585" s="247" t="s">
        <v>177</v>
      </c>
      <c r="CI585" s="247"/>
      <c r="CJ585" s="247"/>
      <c r="CK585" s="247"/>
      <c r="CL585" s="194" t="s">
        <v>178</v>
      </c>
      <c r="CM585" s="194"/>
      <c r="CN585" s="194"/>
      <c r="CP585" s="194" t="s">
        <v>179</v>
      </c>
      <c r="CQ585" s="194"/>
      <c r="CR585" s="194"/>
      <c r="CT585" s="194" t="s">
        <v>180</v>
      </c>
      <c r="CU585" s="194"/>
      <c r="CV585" s="194"/>
      <c r="CW585" s="44"/>
      <c r="CX585" s="194" t="s">
        <v>181</v>
      </c>
      <c r="CY585" s="194"/>
      <c r="CZ585" s="194"/>
      <c r="DA585" s="44"/>
    </row>
    <row r="586" ht="12.75"/>
    <row r="587" spans="86:89" ht="12.75">
      <c r="CH587" s="247" t="s">
        <v>113</v>
      </c>
      <c r="CI587" s="247"/>
      <c r="CJ587" s="247"/>
      <c r="CK587" s="247"/>
    </row>
    <row r="588" ht="12.75"/>
    <row r="589" spans="86:89" ht="12.75">
      <c r="CH589" s="247" t="s">
        <v>153</v>
      </c>
      <c r="CI589" s="247"/>
      <c r="CJ589" s="247"/>
      <c r="CK589" s="247"/>
    </row>
    <row r="590" ht="12.75"/>
    <row r="593" spans="84:92" ht="12.75">
      <c r="CF593" s="191" t="s">
        <v>182</v>
      </c>
      <c r="CG593" s="191"/>
      <c r="CH593" s="191"/>
      <c r="CI593" s="191"/>
      <c r="CJ593" s="191"/>
      <c r="CK593" s="191"/>
      <c r="CL593" s="191"/>
      <c r="CM593" s="191"/>
      <c r="CN593" s="191"/>
    </row>
    <row r="595" spans="86:105" ht="12.75">
      <c r="CH595" s="247" t="s">
        <v>187</v>
      </c>
      <c r="CI595" s="247"/>
      <c r="CJ595" s="247"/>
      <c r="CK595" s="247"/>
      <c r="CL595" s="194" t="s">
        <v>183</v>
      </c>
      <c r="CM595" s="194"/>
      <c r="CN595" s="194"/>
      <c r="CP595" s="194" t="s">
        <v>184</v>
      </c>
      <c r="CQ595" s="194"/>
      <c r="CR595" s="194"/>
      <c r="CT595" s="194" t="s">
        <v>185</v>
      </c>
      <c r="CU595" s="194"/>
      <c r="CV595" s="194"/>
      <c r="CW595" s="44"/>
      <c r="CX595" s="194" t="s">
        <v>186</v>
      </c>
      <c r="CY595" s="194"/>
      <c r="CZ595" s="194"/>
      <c r="DA595" s="44"/>
    </row>
    <row r="596" ht="12.75"/>
    <row r="597" spans="86:89" ht="12.75">
      <c r="CH597" s="247" t="s">
        <v>113</v>
      </c>
      <c r="CI597" s="247"/>
      <c r="CJ597" s="247"/>
      <c r="CK597" s="247"/>
    </row>
    <row r="598" ht="12.75"/>
    <row r="599" spans="86:89" ht="12.75">
      <c r="CH599" s="247" t="s">
        <v>153</v>
      </c>
      <c r="CI599" s="247"/>
      <c r="CJ599" s="247"/>
      <c r="CK599" s="247"/>
    </row>
    <row r="600" ht="12.75"/>
    <row r="601" spans="86:104" ht="12.75">
      <c r="CH601" s="247" t="s">
        <v>188</v>
      </c>
      <c r="CI601" s="247"/>
      <c r="CJ601" s="247"/>
      <c r="CK601" s="252"/>
      <c r="CL601" s="248"/>
      <c r="CM601" s="249"/>
      <c r="CN601" s="250"/>
      <c r="CP601" s="248"/>
      <c r="CQ601" s="249"/>
      <c r="CR601" s="250"/>
      <c r="CT601" s="248"/>
      <c r="CU601" s="249"/>
      <c r="CV601" s="250"/>
      <c r="CX601" s="248"/>
      <c r="CY601" s="249"/>
      <c r="CZ601" s="250"/>
    </row>
    <row r="604" spans="84:92" ht="12.75">
      <c r="CF604" s="191" t="s">
        <v>194</v>
      </c>
      <c r="CG604" s="191"/>
      <c r="CH604" s="191"/>
      <c r="CI604" s="191"/>
      <c r="CJ604" s="191"/>
      <c r="CK604" s="191"/>
      <c r="CL604" s="191"/>
      <c r="CM604" s="191"/>
      <c r="CN604" s="191"/>
    </row>
    <row r="605" ht="12.75"/>
    <row r="606" spans="86:103" ht="12.75">
      <c r="CH606" s="247" t="s">
        <v>195</v>
      </c>
      <c r="CI606" s="247"/>
      <c r="CJ606" s="247"/>
      <c r="CK606" s="247"/>
      <c r="CR606" s="247" t="s">
        <v>200</v>
      </c>
      <c r="CS606" s="247"/>
      <c r="CT606" s="247"/>
      <c r="CU606" s="247"/>
      <c r="CV606" s="248"/>
      <c r="CW606" s="249"/>
      <c r="CX606" s="250"/>
      <c r="CY606" t="s">
        <v>249</v>
      </c>
    </row>
    <row r="607" ht="12.75"/>
    <row r="608" spans="86:103" ht="12.75">
      <c r="CH608" s="247" t="s">
        <v>198</v>
      </c>
      <c r="CI608" s="247"/>
      <c r="CJ608" s="247"/>
      <c r="CK608" s="247"/>
      <c r="CR608" s="247" t="s">
        <v>201</v>
      </c>
      <c r="CS608" s="247"/>
      <c r="CT608" s="247"/>
      <c r="CU608" s="247"/>
      <c r="CV608" s="248"/>
      <c r="CW608" s="249"/>
      <c r="CX608" s="250"/>
      <c r="CY608" t="s">
        <v>249</v>
      </c>
    </row>
    <row r="609" ht="12.75"/>
    <row r="610" spans="86:93" ht="12.75">
      <c r="CH610" s="247" t="s">
        <v>199</v>
      </c>
      <c r="CI610" s="247"/>
      <c r="CJ610" s="247"/>
      <c r="CK610" s="247"/>
      <c r="CL610" s="248"/>
      <c r="CM610" s="249"/>
      <c r="CN610" s="250"/>
      <c r="CO610" t="s">
        <v>250</v>
      </c>
    </row>
    <row r="613" spans="84:92" ht="12.75">
      <c r="CF613" s="191" t="s">
        <v>202</v>
      </c>
      <c r="CG613" s="191"/>
      <c r="CH613" s="191"/>
      <c r="CI613" s="191"/>
      <c r="CJ613" s="191"/>
      <c r="CK613" s="191"/>
      <c r="CL613" s="191"/>
      <c r="CM613" s="191"/>
      <c r="CN613" s="191"/>
    </row>
    <row r="614" ht="12.75"/>
    <row r="615" ht="12.75">
      <c r="CH615" t="s">
        <v>203</v>
      </c>
    </row>
    <row r="616" ht="12.75"/>
    <row r="618" spans="84:92" ht="12.75">
      <c r="CF618" s="191" t="s">
        <v>205</v>
      </c>
      <c r="CG618" s="191"/>
      <c r="CH618" s="191"/>
      <c r="CI618" s="191"/>
      <c r="CJ618" s="191"/>
      <c r="CK618" s="191"/>
      <c r="CL618" s="191"/>
      <c r="CM618" s="191"/>
      <c r="CN618" s="191"/>
    </row>
    <row r="619" ht="12.75"/>
    <row r="620" spans="86:99" ht="12.75">
      <c r="CH620" s="247" t="s">
        <v>206</v>
      </c>
      <c r="CI620" s="247"/>
      <c r="CJ620" s="247"/>
      <c r="CK620" s="247"/>
      <c r="CL620" s="248"/>
      <c r="CM620" s="249"/>
      <c r="CN620" s="250"/>
      <c r="CR620" s="247" t="s">
        <v>207</v>
      </c>
      <c r="CS620" s="247"/>
      <c r="CT620" s="247"/>
      <c r="CU620" s="247"/>
    </row>
    <row r="621" ht="12.75"/>
    <row r="623" spans="84:92" ht="12.75">
      <c r="CF623" s="191" t="s">
        <v>214</v>
      </c>
      <c r="CG623" s="191"/>
      <c r="CH623" s="191"/>
      <c r="CI623" s="191"/>
      <c r="CJ623" s="191"/>
      <c r="CK623" s="191"/>
      <c r="CL623" s="191"/>
      <c r="CM623" s="191"/>
      <c r="CN623" s="191"/>
    </row>
    <row r="624" ht="12.75"/>
    <row r="625" spans="86:99" ht="12.75">
      <c r="CH625" s="97" t="s">
        <v>215</v>
      </c>
      <c r="CL625" s="248"/>
      <c r="CM625" s="249"/>
      <c r="CN625" s="250"/>
      <c r="CR625" s="247" t="s">
        <v>207</v>
      </c>
      <c r="CS625" s="247"/>
      <c r="CT625" s="247"/>
      <c r="CU625" s="247"/>
    </row>
    <row r="626" ht="12.75"/>
    <row r="628" spans="84:92" ht="12.75">
      <c r="CF628" s="191" t="s">
        <v>217</v>
      </c>
      <c r="CG628" s="191"/>
      <c r="CH628" s="191"/>
      <c r="CI628" s="191"/>
      <c r="CJ628" s="191"/>
      <c r="CK628" s="191"/>
      <c r="CL628" s="191"/>
      <c r="CM628" s="191"/>
      <c r="CN628" s="191"/>
    </row>
    <row r="629" ht="12.75"/>
    <row r="630" spans="86:96" ht="12.75">
      <c r="CH630" s="247" t="s">
        <v>218</v>
      </c>
      <c r="CI630" s="247"/>
      <c r="CJ630" s="247"/>
      <c r="CK630" s="247"/>
      <c r="CL630" s="248"/>
      <c r="CM630" s="249"/>
      <c r="CN630" s="250"/>
      <c r="CO630" t="s">
        <v>252</v>
      </c>
      <c r="CR630" s="97" t="s">
        <v>229</v>
      </c>
    </row>
    <row r="631" ht="12.75"/>
    <row r="632" spans="86:96" ht="12.75">
      <c r="CH632" s="247" t="s">
        <v>219</v>
      </c>
      <c r="CI632" s="247"/>
      <c r="CJ632" s="247"/>
      <c r="CK632" s="247"/>
      <c r="CR632" s="97" t="s">
        <v>230</v>
      </c>
    </row>
    <row r="633" ht="12.75"/>
    <row r="634" spans="86:102" ht="12.75">
      <c r="CH634" s="247" t="s">
        <v>220</v>
      </c>
      <c r="CI634" s="247"/>
      <c r="CJ634" s="247"/>
      <c r="CK634" s="247"/>
      <c r="CR634" s="97" t="s">
        <v>231</v>
      </c>
      <c r="CV634" s="248"/>
      <c r="CW634" s="249"/>
      <c r="CX634" s="250"/>
    </row>
    <row r="635" ht="12.75"/>
    <row r="636" spans="86:96" ht="12.75">
      <c r="CH636" s="247" t="s">
        <v>221</v>
      </c>
      <c r="CI636" s="247"/>
      <c r="CJ636" s="247"/>
      <c r="CK636" s="247"/>
      <c r="CR636" s="97" t="s">
        <v>232</v>
      </c>
    </row>
    <row r="637" ht="12.75"/>
    <row r="641" spans="83:92" ht="12.75">
      <c r="CE641" s="246" t="s">
        <v>216</v>
      </c>
      <c r="CF641" s="246"/>
      <c r="CG641" s="246"/>
      <c r="CH641" s="246"/>
      <c r="CI641" s="246"/>
      <c r="CJ641" s="246"/>
      <c r="CK641" s="246"/>
      <c r="CL641" s="246"/>
      <c r="CM641" s="246"/>
      <c r="CN641" s="246"/>
    </row>
    <row r="643" spans="86:101" ht="12.75">
      <c r="CH643" s="237"/>
      <c r="CI643" s="238"/>
      <c r="CJ643" s="238"/>
      <c r="CK643" s="238"/>
      <c r="CL643" s="238"/>
      <c r="CM643" s="238"/>
      <c r="CN643" s="238"/>
      <c r="CO643" s="238"/>
      <c r="CP643" s="238"/>
      <c r="CQ643" s="238"/>
      <c r="CR643" s="238"/>
      <c r="CS643" s="238"/>
      <c r="CT643" s="238"/>
      <c r="CU643" s="238"/>
      <c r="CV643" s="238"/>
      <c r="CW643" s="239"/>
    </row>
    <row r="644" spans="86:101" ht="12.75">
      <c r="CH644" s="240"/>
      <c r="CI644" s="241"/>
      <c r="CJ644" s="241"/>
      <c r="CK644" s="241"/>
      <c r="CL644" s="241"/>
      <c r="CM644" s="241"/>
      <c r="CN644" s="241"/>
      <c r="CO644" s="241"/>
      <c r="CP644" s="241"/>
      <c r="CQ644" s="241"/>
      <c r="CR644" s="241"/>
      <c r="CS644" s="241"/>
      <c r="CT644" s="241"/>
      <c r="CU644" s="241"/>
      <c r="CV644" s="241"/>
      <c r="CW644" s="242"/>
    </row>
    <row r="645" spans="86:101" ht="12.75">
      <c r="CH645" s="243"/>
      <c r="CI645" s="244"/>
      <c r="CJ645" s="244"/>
      <c r="CK645" s="244"/>
      <c r="CL645" s="244"/>
      <c r="CM645" s="244"/>
      <c r="CN645" s="244"/>
      <c r="CO645" s="244"/>
      <c r="CP645" s="244"/>
      <c r="CQ645" s="244"/>
      <c r="CR645" s="244"/>
      <c r="CS645" s="244"/>
      <c r="CT645" s="244"/>
      <c r="CU645" s="244"/>
      <c r="CV645" s="244"/>
      <c r="CW645" s="245"/>
    </row>
  </sheetData>
  <sheetProtection/>
  <mergeCells count="313">
    <mergeCell ref="CH574:CJ575"/>
    <mergeCell ref="CK574:CK575"/>
    <mergeCell ref="CP536:CQ536"/>
    <mergeCell ref="CP541:CR541"/>
    <mergeCell ref="CL543:CN543"/>
    <mergeCell ref="CH561:CI561"/>
    <mergeCell ref="CM559:CN559"/>
    <mergeCell ref="CL549:CN549"/>
    <mergeCell ref="CP549:CR549"/>
    <mergeCell ref="CL563:CM563"/>
    <mergeCell ref="CV563:CW563"/>
    <mergeCell ref="CS536:CT536"/>
    <mergeCell ref="CL539:CN539"/>
    <mergeCell ref="CT539:CV539"/>
    <mergeCell ref="CP539:CR539"/>
    <mergeCell ref="CV536:CW536"/>
    <mergeCell ref="CM536:CN536"/>
    <mergeCell ref="CL557:CN557"/>
    <mergeCell ref="CP557:CR557"/>
    <mergeCell ref="CT557:CV557"/>
    <mergeCell ref="CX568:CY568"/>
    <mergeCell ref="CX563:CY563"/>
    <mergeCell ref="CZ563:DA563"/>
    <mergeCell ref="CZ568:DA568"/>
    <mergeCell ref="CK578:CK579"/>
    <mergeCell ref="CX559:CY559"/>
    <mergeCell ref="CX541:CZ541"/>
    <mergeCell ref="CT543:CV543"/>
    <mergeCell ref="CX543:CZ543"/>
    <mergeCell ref="CP543:CR543"/>
    <mergeCell ref="CL541:CN541"/>
    <mergeCell ref="CT541:CV541"/>
    <mergeCell ref="CX557:CZ557"/>
    <mergeCell ref="CV568:CW568"/>
    <mergeCell ref="CX539:CZ539"/>
    <mergeCell ref="CH570:CJ571"/>
    <mergeCell ref="CN563:CO563"/>
    <mergeCell ref="CP563:CQ563"/>
    <mergeCell ref="CH563:CJ563"/>
    <mergeCell ref="CR563:CS563"/>
    <mergeCell ref="CT563:CU563"/>
    <mergeCell ref="CL568:CM568"/>
    <mergeCell ref="CN568:CO568"/>
    <mergeCell ref="CP568:CQ568"/>
    <mergeCell ref="CR568:CS568"/>
    <mergeCell ref="CT568:CU568"/>
    <mergeCell ref="CX545:CZ545"/>
    <mergeCell ref="CL551:CN551"/>
    <mergeCell ref="CT551:CV551"/>
    <mergeCell ref="CX551:CZ551"/>
    <mergeCell ref="CP551:CR551"/>
    <mergeCell ref="CP545:CR545"/>
    <mergeCell ref="CT545:CV545"/>
    <mergeCell ref="CL545:CN545"/>
    <mergeCell ref="CT549:CV549"/>
    <mergeCell ref="CX549:CZ549"/>
    <mergeCell ref="B7:D13"/>
    <mergeCell ref="B15:D15"/>
    <mergeCell ref="E15:F15"/>
    <mergeCell ref="CH528:CN529"/>
    <mergeCell ref="B17:C17"/>
    <mergeCell ref="B19:C19"/>
    <mergeCell ref="B21:D21"/>
    <mergeCell ref="D17:D19"/>
    <mergeCell ref="BC9:BS9"/>
    <mergeCell ref="BD11:BL11"/>
    <mergeCell ref="D2:H2"/>
    <mergeCell ref="B27:D27"/>
    <mergeCell ref="E27:H27"/>
    <mergeCell ref="B3:I3"/>
    <mergeCell ref="F4:I4"/>
    <mergeCell ref="BD13:BL13"/>
    <mergeCell ref="BL23:BS23"/>
    <mergeCell ref="E17:F17"/>
    <mergeCell ref="B29:D29"/>
    <mergeCell ref="E29:H29"/>
    <mergeCell ref="B23:D23"/>
    <mergeCell ref="B25:D25"/>
    <mergeCell ref="E25:H25"/>
    <mergeCell ref="BC118:BS118"/>
    <mergeCell ref="BL17:BR17"/>
    <mergeCell ref="BL19:BR19"/>
    <mergeCell ref="BD28:BQ29"/>
    <mergeCell ref="BD17:BH17"/>
    <mergeCell ref="BD19:BH19"/>
    <mergeCell ref="BD21:BH21"/>
    <mergeCell ref="BD23:BH23"/>
    <mergeCell ref="BD25:BH25"/>
    <mergeCell ref="BL21:BS21"/>
    <mergeCell ref="B118:V118"/>
    <mergeCell ref="AE118:AF118"/>
    <mergeCell ref="CH522:CN523"/>
    <mergeCell ref="BL143:BP143"/>
    <mergeCell ref="BQ143:BS143"/>
    <mergeCell ref="BI183:BJ183"/>
    <mergeCell ref="BL183:BM183"/>
    <mergeCell ref="BE155:BH155"/>
    <mergeCell ref="BI181:BJ181"/>
    <mergeCell ref="BC156:BS156"/>
    <mergeCell ref="CH536:CJ537"/>
    <mergeCell ref="CF533:CN533"/>
    <mergeCell ref="F120:P120"/>
    <mergeCell ref="CO524:CO525"/>
    <mergeCell ref="CO526:CO527"/>
    <mergeCell ref="CO528:CO529"/>
    <mergeCell ref="CO530:CO531"/>
    <mergeCell ref="BQ241:BS241"/>
    <mergeCell ref="BN150:BR150"/>
    <mergeCell ref="CO522:CO523"/>
    <mergeCell ref="BL181:BM181"/>
    <mergeCell ref="BO181:BP181"/>
    <mergeCell ref="BR181:BS181"/>
    <mergeCell ref="CH526:CN527"/>
    <mergeCell ref="BO183:BP183"/>
    <mergeCell ref="BR183:BS183"/>
    <mergeCell ref="BL245:BM245"/>
    <mergeCell ref="BO245:BP245"/>
    <mergeCell ref="BR245:BS245"/>
    <mergeCell ref="CH524:CN525"/>
    <mergeCell ref="BD149:BE149"/>
    <mergeCell ref="BC146:BD146"/>
    <mergeCell ref="BE146:BJ146"/>
    <mergeCell ref="BJ142:BL142"/>
    <mergeCell ref="BM142:BO142"/>
    <mergeCell ref="CH553:CK553"/>
    <mergeCell ref="B31:C31"/>
    <mergeCell ref="CR530:CX531"/>
    <mergeCell ref="CE519:CN519"/>
    <mergeCell ref="CF521:CN521"/>
    <mergeCell ref="BO177:BP177"/>
    <mergeCell ref="CH530:CN531"/>
    <mergeCell ref="CL534:CN534"/>
    <mergeCell ref="CP534:CR534"/>
    <mergeCell ref="CY522:CY523"/>
    <mergeCell ref="CY524:CY525"/>
    <mergeCell ref="CY526:CY527"/>
    <mergeCell ref="CY528:CY529"/>
    <mergeCell ref="DF530:DF531"/>
    <mergeCell ref="CY530:CY531"/>
    <mergeCell ref="CT534:CV534"/>
    <mergeCell ref="CX534:CZ534"/>
    <mergeCell ref="CR522:CX523"/>
    <mergeCell ref="CR524:CX525"/>
    <mergeCell ref="CR526:CX527"/>
    <mergeCell ref="CR528:CX529"/>
    <mergeCell ref="CH539:CK539"/>
    <mergeCell ref="CH547:CK547"/>
    <mergeCell ref="CH549:CK549"/>
    <mergeCell ref="CH551:CK551"/>
    <mergeCell ref="CH541:CJ541"/>
    <mergeCell ref="CH543:CJ543"/>
    <mergeCell ref="CH545:CJ545"/>
    <mergeCell ref="CN581:CO581"/>
    <mergeCell ref="CP581:CQ581"/>
    <mergeCell ref="CH555:CK555"/>
    <mergeCell ref="CH557:CK557"/>
    <mergeCell ref="CH559:CK559"/>
    <mergeCell ref="CF562:CN562"/>
    <mergeCell ref="CH578:CJ579"/>
    <mergeCell ref="CH568:CK568"/>
    <mergeCell ref="CH565:CJ566"/>
    <mergeCell ref="CP559:CQ559"/>
    <mergeCell ref="CZ581:DA581"/>
    <mergeCell ref="CF583:CN583"/>
    <mergeCell ref="CH585:CK585"/>
    <mergeCell ref="CL585:CN585"/>
    <mergeCell ref="CR581:CS581"/>
    <mergeCell ref="CT581:CU581"/>
    <mergeCell ref="CV581:CW581"/>
    <mergeCell ref="CX581:CY581"/>
    <mergeCell ref="CH581:CJ581"/>
    <mergeCell ref="CL581:CM581"/>
    <mergeCell ref="CH589:CK589"/>
    <mergeCell ref="CP585:CR585"/>
    <mergeCell ref="CT585:CV585"/>
    <mergeCell ref="CX585:CZ585"/>
    <mergeCell ref="CH587:CK587"/>
    <mergeCell ref="CH599:CK599"/>
    <mergeCell ref="CF593:CN593"/>
    <mergeCell ref="CH595:CK595"/>
    <mergeCell ref="CL595:CN595"/>
    <mergeCell ref="CT595:CV595"/>
    <mergeCell ref="CX595:CZ595"/>
    <mergeCell ref="CP595:CR595"/>
    <mergeCell ref="CH597:CK597"/>
    <mergeCell ref="CL601:CN601"/>
    <mergeCell ref="CX601:CZ601"/>
    <mergeCell ref="CT601:CV601"/>
    <mergeCell ref="CP601:CR601"/>
    <mergeCell ref="CV606:CX606"/>
    <mergeCell ref="CV608:CX608"/>
    <mergeCell ref="CF613:CN613"/>
    <mergeCell ref="CF618:CN618"/>
    <mergeCell ref="CH610:CK610"/>
    <mergeCell ref="CL610:CN610"/>
    <mergeCell ref="CR606:CU606"/>
    <mergeCell ref="CR608:CU608"/>
    <mergeCell ref="CH606:CK606"/>
    <mergeCell ref="CH608:CK608"/>
    <mergeCell ref="CR620:CU620"/>
    <mergeCell ref="N106:O106"/>
    <mergeCell ref="N107:O107"/>
    <mergeCell ref="N108:O108"/>
    <mergeCell ref="N109:O109"/>
    <mergeCell ref="N110:O110"/>
    <mergeCell ref="N111:O111"/>
    <mergeCell ref="BL177:BM177"/>
    <mergeCell ref="CH601:CK601"/>
    <mergeCell ref="CF604:CN604"/>
    <mergeCell ref="CH620:CK620"/>
    <mergeCell ref="CL620:CN620"/>
    <mergeCell ref="CH630:CK630"/>
    <mergeCell ref="CH632:CK632"/>
    <mergeCell ref="CF623:CN623"/>
    <mergeCell ref="CH643:CW645"/>
    <mergeCell ref="CE641:CN641"/>
    <mergeCell ref="CR625:CU625"/>
    <mergeCell ref="CL625:CN625"/>
    <mergeCell ref="CF628:CN628"/>
    <mergeCell ref="CV634:CX634"/>
    <mergeCell ref="CL630:CN630"/>
    <mergeCell ref="CH634:CK634"/>
    <mergeCell ref="CH636:CK636"/>
    <mergeCell ref="BR179:BS179"/>
    <mergeCell ref="BR177:BS177"/>
    <mergeCell ref="BI185:BJ185"/>
    <mergeCell ref="BL185:BM185"/>
    <mergeCell ref="BO185:BP185"/>
    <mergeCell ref="BR185:BS185"/>
    <mergeCell ref="BI177:BJ177"/>
    <mergeCell ref="BI179:BJ179"/>
    <mergeCell ref="BL179:BM179"/>
    <mergeCell ref="BO179:BP179"/>
    <mergeCell ref="BI187:BJ187"/>
    <mergeCell ref="BL187:BM187"/>
    <mergeCell ref="BO187:BP187"/>
    <mergeCell ref="BR187:BS187"/>
    <mergeCell ref="BI191:BJ191"/>
    <mergeCell ref="BL191:BM191"/>
    <mergeCell ref="BO191:BP191"/>
    <mergeCell ref="BR191:BS191"/>
    <mergeCell ref="BI193:BJ193"/>
    <mergeCell ref="BL193:BM193"/>
    <mergeCell ref="BO193:BP193"/>
    <mergeCell ref="BR193:BS193"/>
    <mergeCell ref="BI195:BJ195"/>
    <mergeCell ref="BL195:BM195"/>
    <mergeCell ref="BO195:BP195"/>
    <mergeCell ref="BR195:BS195"/>
    <mergeCell ref="BI197:BJ197"/>
    <mergeCell ref="BL197:BM197"/>
    <mergeCell ref="BO197:BP197"/>
    <mergeCell ref="BR197:BS197"/>
    <mergeCell ref="BI199:BJ199"/>
    <mergeCell ref="BL199:BM199"/>
    <mergeCell ref="BO199:BP199"/>
    <mergeCell ref="BR199:BS199"/>
    <mergeCell ref="BI201:BJ201"/>
    <mergeCell ref="BL201:BM201"/>
    <mergeCell ref="BO201:BP201"/>
    <mergeCell ref="BR201:BS201"/>
    <mergeCell ref="BI223:BJ223"/>
    <mergeCell ref="BL223:BM223"/>
    <mergeCell ref="BO223:BP223"/>
    <mergeCell ref="BR223:BS223"/>
    <mergeCell ref="BI225:BJ225"/>
    <mergeCell ref="BL225:BM225"/>
    <mergeCell ref="BO225:BP225"/>
    <mergeCell ref="BR225:BS225"/>
    <mergeCell ref="BI227:BJ227"/>
    <mergeCell ref="BO227:BP227"/>
    <mergeCell ref="BR227:BS227"/>
    <mergeCell ref="BL227:BM227"/>
    <mergeCell ref="BI232:BJ232"/>
    <mergeCell ref="BL232:BM232"/>
    <mergeCell ref="BO232:BP232"/>
    <mergeCell ref="BR232:BS232"/>
    <mergeCell ref="BM269:BO269"/>
    <mergeCell ref="BR236:BS236"/>
    <mergeCell ref="BI234:BJ234"/>
    <mergeCell ref="BL234:BM234"/>
    <mergeCell ref="BO234:BP234"/>
    <mergeCell ref="BR234:BS234"/>
    <mergeCell ref="BI260:BK260"/>
    <mergeCell ref="BI236:BJ236"/>
    <mergeCell ref="BL236:BM236"/>
    <mergeCell ref="BI255:BK255"/>
    <mergeCell ref="BM255:BO255"/>
    <mergeCell ref="BO236:BP236"/>
    <mergeCell ref="BI241:BK241"/>
    <mergeCell ref="BI243:BK243"/>
    <mergeCell ref="BI245:BK245"/>
    <mergeCell ref="BI250:BK250"/>
    <mergeCell ref="BN289:BS289"/>
    <mergeCell ref="BD278:BS281"/>
    <mergeCell ref="BQ260:BS260"/>
    <mergeCell ref="BI265:BK265"/>
    <mergeCell ref="BI267:BK267"/>
    <mergeCell ref="BI271:BK271"/>
    <mergeCell ref="BQ265:BS265"/>
    <mergeCell ref="BM267:BO267"/>
    <mergeCell ref="BQ267:BS267"/>
    <mergeCell ref="BI276:BK276"/>
    <mergeCell ref="L92:L93"/>
    <mergeCell ref="BL276:BR276"/>
    <mergeCell ref="BD286:BE286"/>
    <mergeCell ref="BI269:BK269"/>
    <mergeCell ref="BM265:BO265"/>
    <mergeCell ref="BQ271:BS271"/>
    <mergeCell ref="BQ269:BS269"/>
    <mergeCell ref="BM271:BO271"/>
    <mergeCell ref="BQ243:BS243"/>
    <mergeCell ref="BQ255:BS255"/>
  </mergeCells>
  <conditionalFormatting sqref="E25">
    <cfRule type="cellIs" priority="1" dxfId="0" operator="equal" stopIfTrue="1">
      <formula>1</formula>
    </cfRule>
  </conditionalFormatting>
  <conditionalFormatting sqref="N15 I14:K14">
    <cfRule type="cellIs" priority="2" dxfId="0" operator="equal" stopIfTrue="1">
      <formula>14</formula>
    </cfRule>
    <cfRule type="cellIs" priority="3" dxfId="0" operator="equal" stopIfTrue="1">
      <formula>21</formula>
    </cfRule>
  </conditionalFormatting>
  <conditionalFormatting sqref="U4">
    <cfRule type="cellIs" priority="4" dxfId="0" operator="lessThan" stopIfTrue="1">
      <formula>0</formula>
    </cfRule>
  </conditionalFormatting>
  <conditionalFormatting sqref="T4">
    <cfRule type="cellIs" priority="5" dxfId="0" operator="equal" stopIfTrue="1">
      <formula>5</formula>
    </cfRule>
  </conditionalFormatting>
  <conditionalFormatting sqref="K4:L4">
    <cfRule type="cellIs" priority="6" dxfId="0" operator="lessThan" stopIfTrue="1">
      <formula>1</formula>
    </cfRule>
  </conditionalFormatting>
  <conditionalFormatting sqref="E17:F17">
    <cfRule type="cellIs" priority="7" dxfId="1" operator="equal" stopIfTrue="1">
      <formula>8</formula>
    </cfRule>
  </conditionalFormatting>
  <conditionalFormatting sqref="P4">
    <cfRule type="cellIs" priority="8" dxfId="0" operator="greaterThan" stopIfTrue="1">
      <formula>8</formula>
    </cfRule>
  </conditionalFormatting>
  <printOptions/>
  <pageMargins left="0.34" right="0.22" top="0.36" bottom="0.45" header="0.18" footer="0.16"/>
  <pageSetup horizontalDpi="150" verticalDpi="150" orientation="portrait" paperSize="9" r:id="rId3"/>
  <ignoredErrors>
    <ignoredError sqref="AE31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objednávkový formulář</dc:title>
  <dc:subject>regulátor MR51D (C)</dc:subject>
  <dc:creator/>
  <cp:keywords/>
  <dc:description/>
  <cp:lastModifiedBy>dragan</cp:lastModifiedBy>
  <cp:lastPrinted>2011-02-16T12:10:43Z</cp:lastPrinted>
  <dcterms:created xsi:type="dcterms:W3CDTF">2007-02-05T14:11:56Z</dcterms:created>
  <dcterms:modified xsi:type="dcterms:W3CDTF">2011-03-24T10:30:52Z</dcterms:modified>
  <cp:category/>
  <cp:version/>
  <cp:contentType/>
  <cp:contentStatus/>
</cp:coreProperties>
</file>